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我的雲端硬碟\112學年度業務資料\112午餐業務\112-1每月菜單\"/>
    </mc:Choice>
  </mc:AlternateContent>
  <bookViews>
    <workbookView xWindow="-120" yWindow="-120" windowWidth="24240" windowHeight="13140" tabRatio="638" firstSheet="2" activeTab="2"/>
  </bookViews>
  <sheets>
    <sheet name="菜單總表" sheetId="46" state="hidden" r:id="rId1"/>
    <sheet name="菜單總表 (招標用)" sheetId="48" state="hidden" r:id="rId2"/>
    <sheet name="菜單" sheetId="50" r:id="rId3"/>
    <sheet name="第一週" sheetId="31" r:id="rId4"/>
    <sheet name="第二週" sheetId="32" r:id="rId5"/>
    <sheet name="第三週" sheetId="33" r:id="rId6"/>
    <sheet name="第四週" sheetId="51" r:id="rId7"/>
    <sheet name="份數表" sheetId="54" state="hidden" r:id="rId8"/>
    <sheet name="第五週" sheetId="52" state="hidden" r:id="rId9"/>
  </sheets>
  <definedNames>
    <definedName name="_xlnm.Print_Area" localSheetId="3">第一週!$A$1:$AJ$249</definedName>
    <definedName name="_xlnm.Print_Area" localSheetId="4">第二週!$A$1:$AJ$233</definedName>
    <definedName name="_xlnm.Print_Area" localSheetId="5">第三週!$A$1:$AJ$228</definedName>
    <definedName name="_xlnm.Print_Area" localSheetId="8">第五週!$A$1:$AJ$228</definedName>
    <definedName name="_xlnm.Print_Area" localSheetId="6">第四週!$A$1:$AJ$229</definedName>
    <definedName name="_xlnm.Print_Area" localSheetId="2">菜單!$A$1:$K$80</definedName>
    <definedName name="_xlnm.Print_Area" localSheetId="1">'菜單總表 (招標用)'!$A$1:$R$80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9" i="33" l="1"/>
  <c r="O268" i="51"/>
  <c r="O2" i="51"/>
  <c r="O267" i="32"/>
  <c r="O2" i="32"/>
  <c r="O36" i="32" s="1"/>
  <c r="O267" i="31"/>
  <c r="J267" i="31"/>
  <c r="O2" i="31"/>
  <c r="J2" i="31"/>
  <c r="Y267" i="31"/>
  <c r="Y2" i="31"/>
  <c r="AD266" i="32"/>
  <c r="AD2" i="32"/>
  <c r="O199" i="32"/>
  <c r="O201" i="32"/>
  <c r="O35" i="32"/>
  <c r="O34" i="32"/>
  <c r="AD267" i="31"/>
  <c r="AD2" i="31"/>
  <c r="O94" i="33"/>
  <c r="O95" i="33"/>
  <c r="O110" i="33"/>
  <c r="O95" i="31"/>
  <c r="AD268" i="51"/>
  <c r="Y268" i="51"/>
  <c r="T268" i="51"/>
  <c r="J268" i="51"/>
  <c r="AD267" i="33"/>
  <c r="Y267" i="33"/>
  <c r="T267" i="33"/>
  <c r="T2" i="33"/>
  <c r="J267" i="33"/>
  <c r="J2" i="33"/>
  <c r="O267" i="33"/>
  <c r="AD2" i="51"/>
  <c r="Y2" i="51"/>
  <c r="T2" i="51"/>
  <c r="J2" i="51"/>
  <c r="AD2" i="33"/>
  <c r="Y2" i="33"/>
  <c r="O2" i="33"/>
  <c r="J111" i="31" l="1"/>
  <c r="J110" i="31"/>
  <c r="J109" i="31"/>
  <c r="J98" i="33"/>
  <c r="J99" i="33"/>
  <c r="J94" i="33"/>
  <c r="O94" i="32"/>
  <c r="O96" i="32"/>
  <c r="O95" i="32"/>
  <c r="J199" i="31" l="1"/>
  <c r="T4" i="31"/>
  <c r="T49" i="31"/>
  <c r="T41" i="31"/>
  <c r="T38" i="31"/>
  <c r="T37" i="31"/>
  <c r="T36" i="31"/>
  <c r="T35" i="31"/>
  <c r="T34" i="31"/>
  <c r="AD4" i="31"/>
  <c r="Y4" i="31"/>
  <c r="O4" i="31"/>
  <c r="J4" i="31"/>
  <c r="O95" i="51"/>
  <c r="A1" i="51" l="1"/>
  <c r="T202" i="51"/>
  <c r="T201" i="33" l="1"/>
  <c r="T200" i="33"/>
  <c r="T199" i="33"/>
  <c r="T35" i="51" l="1"/>
  <c r="J96" i="33"/>
  <c r="T112" i="31"/>
  <c r="T110" i="31"/>
  <c r="J97" i="51"/>
  <c r="J96" i="51"/>
  <c r="J95" i="51"/>
  <c r="J111" i="51"/>
  <c r="J110" i="51"/>
  <c r="Y109" i="32"/>
  <c r="Y110" i="32"/>
  <c r="Y111" i="32"/>
  <c r="AD38" i="32" l="1"/>
  <c r="AD37" i="32"/>
  <c r="AD36" i="32"/>
  <c r="AD35" i="32"/>
  <c r="AD34" i="32"/>
  <c r="J204" i="33"/>
  <c r="Y202" i="33"/>
  <c r="Y199" i="33"/>
  <c r="Y201" i="51"/>
  <c r="Y200" i="51"/>
  <c r="T112" i="51" l="1"/>
  <c r="T113" i="51"/>
  <c r="T110" i="51"/>
  <c r="T111" i="51"/>
  <c r="AD114" i="51"/>
  <c r="AD113" i="51"/>
  <c r="AD110" i="51"/>
  <c r="T112" i="33"/>
  <c r="T111" i="33"/>
  <c r="T110" i="33"/>
  <c r="T109" i="33"/>
  <c r="Y95" i="51"/>
  <c r="Y99" i="51"/>
  <c r="Y97" i="33"/>
  <c r="Y96" i="33"/>
  <c r="Y95" i="33"/>
  <c r="Y94" i="33"/>
  <c r="Y96" i="51" l="1"/>
  <c r="Y95" i="32" l="1"/>
  <c r="Y96" i="32"/>
  <c r="Y94" i="32"/>
  <c r="Y97" i="32"/>
  <c r="Y110" i="31"/>
  <c r="F28" i="54"/>
  <c r="Y109" i="31"/>
  <c r="F31" i="54"/>
  <c r="F9" i="54"/>
  <c r="F6" i="54" l="1"/>
  <c r="F7" i="54"/>
  <c r="F29" i="54"/>
  <c r="F30" i="54"/>
  <c r="F8" i="54"/>
  <c r="E9" i="54"/>
  <c r="E6" i="54"/>
  <c r="E28" i="54"/>
  <c r="E31" i="54"/>
  <c r="E30" i="54"/>
  <c r="E29" i="54"/>
  <c r="D31" i="54" l="1"/>
  <c r="D28" i="54"/>
  <c r="D30" i="54"/>
  <c r="D37" i="54" s="1"/>
  <c r="D29" i="54"/>
  <c r="D9" i="54"/>
  <c r="D15" i="54" s="1"/>
  <c r="D6" i="54"/>
  <c r="V6" i="54"/>
  <c r="O34" i="31"/>
  <c r="C9" i="54"/>
  <c r="C31" i="54"/>
  <c r="C28" i="54"/>
  <c r="C29" i="54"/>
  <c r="C6" i="54"/>
  <c r="C15" i="54"/>
  <c r="C7" i="54"/>
  <c r="D7" i="54"/>
  <c r="E7" i="54"/>
  <c r="F13" i="54"/>
  <c r="G7" i="54"/>
  <c r="G14" i="54" s="1"/>
  <c r="H7" i="54"/>
  <c r="H14" i="54" s="1"/>
  <c r="I7" i="54"/>
  <c r="I14" i="54" s="1"/>
  <c r="J7" i="54"/>
  <c r="J14" i="54" s="1"/>
  <c r="K7" i="54"/>
  <c r="K13" i="54" s="1"/>
  <c r="L7" i="54"/>
  <c r="M7" i="54"/>
  <c r="M13" i="54" s="1"/>
  <c r="N7" i="54"/>
  <c r="N14" i="54" s="1"/>
  <c r="O7" i="54"/>
  <c r="O14" i="54" s="1"/>
  <c r="P7" i="54"/>
  <c r="P13" i="54" s="1"/>
  <c r="Q7" i="54"/>
  <c r="Q14" i="54" s="1"/>
  <c r="R7" i="54"/>
  <c r="R13" i="54" s="1"/>
  <c r="S7" i="54"/>
  <c r="S13" i="54" s="1"/>
  <c r="T7" i="54"/>
  <c r="U7" i="54"/>
  <c r="U13" i="54" s="1"/>
  <c r="U37" i="54"/>
  <c r="T37" i="54"/>
  <c r="M37" i="54"/>
  <c r="L37" i="54"/>
  <c r="J37" i="54"/>
  <c r="G37" i="54"/>
  <c r="E37" i="54"/>
  <c r="T36" i="54"/>
  <c r="P36" i="54"/>
  <c r="J36" i="54"/>
  <c r="I36" i="54"/>
  <c r="E36" i="54"/>
  <c r="T35" i="54"/>
  <c r="Q35" i="54"/>
  <c r="P35" i="54"/>
  <c r="L35" i="54"/>
  <c r="J35" i="54"/>
  <c r="I35" i="54"/>
  <c r="E35" i="54"/>
  <c r="V33" i="54"/>
  <c r="V32" i="54"/>
  <c r="S37" i="54"/>
  <c r="P37" i="54"/>
  <c r="N37" i="54"/>
  <c r="I37" i="54"/>
  <c r="R37" i="54"/>
  <c r="Q36" i="54"/>
  <c r="V30" i="54"/>
  <c r="K37" i="54"/>
  <c r="H37" i="54"/>
  <c r="F37" i="54"/>
  <c r="R36" i="54"/>
  <c r="N35" i="54"/>
  <c r="K36" i="54"/>
  <c r="U35" i="54"/>
  <c r="S35" i="54"/>
  <c r="R35" i="54"/>
  <c r="O36" i="54"/>
  <c r="N36" i="54"/>
  <c r="M35" i="54"/>
  <c r="K35" i="54"/>
  <c r="H36" i="54"/>
  <c r="G36" i="54"/>
  <c r="F35" i="54"/>
  <c r="V27" i="54"/>
  <c r="L36" i="54"/>
  <c r="T15" i="54"/>
  <c r="P15" i="54"/>
  <c r="N15" i="54"/>
  <c r="L15" i="54"/>
  <c r="J15" i="54"/>
  <c r="I15" i="54"/>
  <c r="G15" i="54"/>
  <c r="E15" i="54"/>
  <c r="T13" i="54"/>
  <c r="L13" i="54"/>
  <c r="E13" i="54"/>
  <c r="V10" i="54"/>
  <c r="U15" i="54"/>
  <c r="S15" i="54"/>
  <c r="R15" i="54"/>
  <c r="Q15" i="54"/>
  <c r="O15" i="54"/>
  <c r="M15" i="54"/>
  <c r="K15" i="54"/>
  <c r="H15" i="54"/>
  <c r="F15" i="54"/>
  <c r="T14" i="54"/>
  <c r="L14" i="54"/>
  <c r="E14" i="54"/>
  <c r="V5" i="54"/>
  <c r="V4" i="54"/>
  <c r="V29" i="54" l="1"/>
  <c r="M14" i="54"/>
  <c r="C36" i="54"/>
  <c r="D35" i="54"/>
  <c r="D13" i="54"/>
  <c r="C35" i="54"/>
  <c r="V31" i="54"/>
  <c r="V34" i="54" s="1"/>
  <c r="C37" i="54"/>
  <c r="J38" i="54"/>
  <c r="J41" i="54" s="1"/>
  <c r="V7" i="54"/>
  <c r="P14" i="54"/>
  <c r="P16" i="54" s="1"/>
  <c r="P19" i="54" s="1"/>
  <c r="I13" i="54"/>
  <c r="I16" i="54" s="1"/>
  <c r="I19" i="54" s="1"/>
  <c r="P38" i="54"/>
  <c r="P42" i="54" s="1"/>
  <c r="R38" i="54"/>
  <c r="R40" i="54" s="1"/>
  <c r="K38" i="54"/>
  <c r="K42" i="54" s="1"/>
  <c r="K41" i="54"/>
  <c r="L16" i="54"/>
  <c r="L20" i="54" s="1"/>
  <c r="J42" i="54"/>
  <c r="N38" i="54"/>
  <c r="N42" i="54" s="1"/>
  <c r="I38" i="54"/>
  <c r="I42" i="54" s="1"/>
  <c r="G13" i="54"/>
  <c r="N13" i="54"/>
  <c r="C14" i="54"/>
  <c r="K14" i="54"/>
  <c r="K16" i="54" s="1"/>
  <c r="K20" i="54" s="1"/>
  <c r="R14" i="54"/>
  <c r="G35" i="54"/>
  <c r="V9" i="54"/>
  <c r="H13" i="54"/>
  <c r="O13" i="54"/>
  <c r="D14" i="54"/>
  <c r="S14" i="54"/>
  <c r="S16" i="54" s="1"/>
  <c r="V26" i="54"/>
  <c r="V28" i="54"/>
  <c r="H35" i="54"/>
  <c r="O35" i="54"/>
  <c r="D36" i="54"/>
  <c r="D38" i="54" s="1"/>
  <c r="S36" i="54"/>
  <c r="S38" i="54" s="1"/>
  <c r="S42" i="54" s="1"/>
  <c r="O37" i="54"/>
  <c r="E38" i="54"/>
  <c r="E40" i="54" s="1"/>
  <c r="L38" i="54"/>
  <c r="L41" i="54" s="1"/>
  <c r="T38" i="54"/>
  <c r="T41" i="54" s="1"/>
  <c r="E16" i="54"/>
  <c r="E20" i="54" s="1"/>
  <c r="J13" i="54"/>
  <c r="F14" i="54"/>
  <c r="F16" i="54" s="1"/>
  <c r="U14" i="54"/>
  <c r="U16" i="54" s="1"/>
  <c r="U20" i="54" s="1"/>
  <c r="M16" i="54"/>
  <c r="M20" i="54" s="1"/>
  <c r="F36" i="54"/>
  <c r="M36" i="54"/>
  <c r="U36" i="54"/>
  <c r="U38" i="54" s="1"/>
  <c r="Q37" i="54"/>
  <c r="Q38" i="54" s="1"/>
  <c r="Q13" i="54"/>
  <c r="C13" i="54"/>
  <c r="T16" i="54"/>
  <c r="T20" i="54" s="1"/>
  <c r="V8" i="54"/>
  <c r="R42" i="54" l="1"/>
  <c r="E42" i="54"/>
  <c r="D16" i="54"/>
  <c r="D18" i="54" s="1"/>
  <c r="R41" i="54"/>
  <c r="C38" i="54"/>
  <c r="C40" i="54" s="1"/>
  <c r="D40" i="54"/>
  <c r="D42" i="54"/>
  <c r="L40" i="54"/>
  <c r="N41" i="54"/>
  <c r="J40" i="54"/>
  <c r="E41" i="54"/>
  <c r="K40" i="54"/>
  <c r="N40" i="54"/>
  <c r="C42" i="54"/>
  <c r="T19" i="54"/>
  <c r="T18" i="54"/>
  <c r="F18" i="54"/>
  <c r="F20" i="54"/>
  <c r="I20" i="54"/>
  <c r="L18" i="54"/>
  <c r="U42" i="54"/>
  <c r="U40" i="54"/>
  <c r="S18" i="54"/>
  <c r="S20" i="54"/>
  <c r="Q40" i="54"/>
  <c r="Q41" i="54"/>
  <c r="K19" i="54"/>
  <c r="K18" i="54"/>
  <c r="E18" i="54"/>
  <c r="U18" i="54"/>
  <c r="S40" i="54"/>
  <c r="P40" i="54"/>
  <c r="N16" i="54"/>
  <c r="N18" i="54" s="1"/>
  <c r="M18" i="54"/>
  <c r="L19" i="54"/>
  <c r="P18" i="54"/>
  <c r="M38" i="54"/>
  <c r="I40" i="54"/>
  <c r="D41" i="54"/>
  <c r="O16" i="54"/>
  <c r="G16" i="54"/>
  <c r="G18" i="54" s="1"/>
  <c r="P20" i="54"/>
  <c r="M19" i="54"/>
  <c r="L42" i="54"/>
  <c r="F38" i="54"/>
  <c r="O38" i="54"/>
  <c r="O41" i="54" s="1"/>
  <c r="I41" i="54"/>
  <c r="U19" i="54"/>
  <c r="H38" i="54"/>
  <c r="P41" i="54"/>
  <c r="T42" i="54"/>
  <c r="R16" i="54"/>
  <c r="T40" i="54"/>
  <c r="I18" i="54"/>
  <c r="E19" i="54"/>
  <c r="J16" i="54"/>
  <c r="Q42" i="54"/>
  <c r="S19" i="54"/>
  <c r="U41" i="54"/>
  <c r="S41" i="54"/>
  <c r="C16" i="54"/>
  <c r="C20" i="54" s="1"/>
  <c r="H16" i="54"/>
  <c r="Q16" i="54"/>
  <c r="Q18" i="54" s="1"/>
  <c r="F19" i="54"/>
  <c r="G38" i="54"/>
  <c r="G40" i="54" s="1"/>
  <c r="D20" i="54" l="1"/>
  <c r="D19" i="54"/>
  <c r="O40" i="54"/>
  <c r="C41" i="54"/>
  <c r="H20" i="54"/>
  <c r="H19" i="54"/>
  <c r="F40" i="54"/>
  <c r="F42" i="54"/>
  <c r="C18" i="54"/>
  <c r="G42" i="54"/>
  <c r="G41" i="54"/>
  <c r="F41" i="54"/>
  <c r="R20" i="54"/>
  <c r="R18" i="54"/>
  <c r="M40" i="54"/>
  <c r="M42" i="54"/>
  <c r="J19" i="54"/>
  <c r="J20" i="54"/>
  <c r="O20" i="54"/>
  <c r="O19" i="54"/>
  <c r="N19" i="54"/>
  <c r="N20" i="54"/>
  <c r="C19" i="54"/>
  <c r="Q19" i="54"/>
  <c r="Q20" i="54"/>
  <c r="O42" i="54"/>
  <c r="G20" i="54"/>
  <c r="G19" i="54"/>
  <c r="M41" i="54"/>
  <c r="H41" i="54"/>
  <c r="H42" i="54"/>
  <c r="H18" i="54"/>
  <c r="J18" i="54"/>
  <c r="H40" i="54"/>
  <c r="R19" i="54"/>
  <c r="O18" i="54"/>
  <c r="I255" i="31" l="1"/>
  <c r="T109" i="31"/>
  <c r="O36" i="31"/>
  <c r="O94" i="31" l="1"/>
  <c r="O37" i="31"/>
  <c r="O35" i="31"/>
  <c r="J96" i="31" l="1"/>
  <c r="J94" i="31"/>
  <c r="J97" i="31"/>
  <c r="O96" i="51" l="1"/>
  <c r="Y5" i="31" l="1"/>
  <c r="AD36" i="33"/>
  <c r="O36" i="33"/>
  <c r="AD35" i="33"/>
  <c r="AD34" i="33"/>
  <c r="AD34" i="51"/>
  <c r="Y199" i="31"/>
  <c r="T49" i="51"/>
  <c r="O97" i="51" l="1"/>
  <c r="AD96" i="32"/>
  <c r="AD95" i="32"/>
  <c r="AD94" i="32"/>
  <c r="Y200" i="32" l="1"/>
  <c r="O200" i="32"/>
  <c r="J203" i="33"/>
  <c r="AD200" i="33"/>
  <c r="O200" i="33"/>
  <c r="J200" i="33"/>
  <c r="O199" i="33"/>
  <c r="J199" i="33"/>
  <c r="J204" i="51"/>
  <c r="AD203" i="51"/>
  <c r="J203" i="51"/>
  <c r="AD202" i="51"/>
  <c r="O202" i="51"/>
  <c r="J202" i="51"/>
  <c r="O201" i="51"/>
  <c r="J201" i="51"/>
  <c r="J200" i="51"/>
  <c r="J202" i="31"/>
  <c r="AD201" i="31"/>
  <c r="Y201" i="31"/>
  <c r="AD200" i="31"/>
  <c r="T200" i="31"/>
  <c r="O200" i="31"/>
  <c r="AD199" i="31"/>
  <c r="T199" i="31"/>
  <c r="O199" i="31"/>
  <c r="O35" i="51"/>
  <c r="O34" i="51"/>
  <c r="T49" i="33"/>
  <c r="T4" i="51"/>
  <c r="T4" i="33"/>
  <c r="Y35" i="33"/>
  <c r="Y34" i="33"/>
  <c r="O35" i="33"/>
  <c r="O34" i="33"/>
  <c r="O37" i="51"/>
  <c r="O37" i="33"/>
  <c r="Y36" i="33"/>
  <c r="Y38" i="33"/>
  <c r="Y39" i="33"/>
  <c r="J95" i="33"/>
  <c r="T49" i="32"/>
  <c r="Y96" i="31" l="1"/>
  <c r="Y35" i="32"/>
  <c r="Y34" i="32"/>
  <c r="Y36" i="32" l="1"/>
  <c r="Y39" i="32"/>
  <c r="J36" i="31" l="1"/>
  <c r="J34" i="31"/>
  <c r="J35" i="51"/>
  <c r="J34" i="51"/>
  <c r="AD112" i="51"/>
  <c r="AD111" i="51"/>
  <c r="Y112" i="51"/>
  <c r="Y110" i="51"/>
  <c r="Y111" i="51"/>
  <c r="O110" i="51"/>
  <c r="O112" i="51"/>
  <c r="O111" i="51"/>
  <c r="Y110" i="33"/>
  <c r="Y109" i="33"/>
  <c r="O109" i="33"/>
  <c r="J110" i="33"/>
  <c r="J109" i="33"/>
  <c r="T4" i="32"/>
  <c r="AD109" i="31"/>
  <c r="O111" i="31"/>
  <c r="O110" i="31"/>
  <c r="O109" i="31"/>
  <c r="AD109" i="32"/>
  <c r="T109" i="32"/>
  <c r="T111" i="32"/>
  <c r="O109" i="32"/>
  <c r="O111" i="32"/>
  <c r="O110" i="32"/>
  <c r="AD94" i="31" l="1"/>
  <c r="Y36" i="31"/>
  <c r="Y35" i="31"/>
  <c r="Y34" i="31" l="1"/>
  <c r="Y38" i="31"/>
  <c r="Y40" i="31"/>
  <c r="F24" i="50" l="1"/>
  <c r="F23" i="50"/>
  <c r="F38" i="50"/>
  <c r="F37" i="50"/>
  <c r="F52" i="50"/>
  <c r="F51" i="50"/>
  <c r="AD97" i="51"/>
  <c r="AD96" i="51"/>
  <c r="AD95" i="51"/>
  <c r="Y39" i="51"/>
  <c r="T38" i="51"/>
  <c r="T37" i="51"/>
  <c r="T36" i="51"/>
  <c r="Y36" i="51"/>
  <c r="Y35" i="51"/>
  <c r="Y34" i="51"/>
  <c r="T34" i="51"/>
  <c r="AD96" i="33"/>
  <c r="O96" i="33"/>
  <c r="AD95" i="33"/>
  <c r="AD94" i="33"/>
  <c r="T39" i="33"/>
  <c r="T38" i="33"/>
  <c r="T37" i="33"/>
  <c r="T36" i="33"/>
  <c r="J36" i="33"/>
  <c r="T35" i="33"/>
  <c r="J35" i="33"/>
  <c r="T34" i="33"/>
  <c r="J34" i="33"/>
  <c r="T43" i="32"/>
  <c r="T41" i="32"/>
  <c r="T37" i="32"/>
  <c r="T36" i="32"/>
  <c r="T35" i="32"/>
  <c r="T34" i="32"/>
  <c r="AI184" i="31"/>
  <c r="AD184" i="31"/>
  <c r="Y184" i="31"/>
  <c r="T184" i="31"/>
  <c r="O184" i="31"/>
  <c r="J184" i="31"/>
  <c r="Y98" i="31"/>
  <c r="J98" i="31"/>
  <c r="O96" i="31"/>
  <c r="AD95" i="31"/>
  <c r="Y95" i="31"/>
  <c r="J95" i="31"/>
  <c r="Y94" i="31"/>
  <c r="AD34" i="31"/>
  <c r="AI5" i="31"/>
  <c r="AI4" i="31"/>
  <c r="AD185" i="51" l="1"/>
  <c r="Y185" i="51"/>
  <c r="T185" i="51"/>
  <c r="O185" i="51"/>
  <c r="J185" i="51"/>
  <c r="AD184" i="33"/>
  <c r="Y184" i="33"/>
  <c r="T184" i="33"/>
  <c r="O184" i="33"/>
  <c r="J184" i="33"/>
  <c r="AD184" i="32"/>
  <c r="Y184" i="32"/>
  <c r="T184" i="32"/>
  <c r="O184" i="32"/>
  <c r="O4" i="51"/>
  <c r="J4" i="51"/>
  <c r="O4" i="33"/>
  <c r="J4" i="33"/>
  <c r="O4" i="32"/>
  <c r="D24" i="50" l="1"/>
  <c r="H44" i="50"/>
  <c r="G44" i="50"/>
  <c r="F44" i="50"/>
  <c r="E44" i="50"/>
  <c r="D44" i="50"/>
  <c r="K43" i="50"/>
  <c r="J43" i="50"/>
  <c r="I43" i="50"/>
  <c r="H43" i="50"/>
  <c r="G43" i="50"/>
  <c r="F43" i="50"/>
  <c r="E43" i="50"/>
  <c r="D43" i="50"/>
  <c r="C43" i="50"/>
  <c r="A43" i="50"/>
  <c r="H42" i="50"/>
  <c r="G42" i="50"/>
  <c r="F42" i="50"/>
  <c r="E42" i="50"/>
  <c r="D42" i="50"/>
  <c r="K41" i="50"/>
  <c r="J41" i="50"/>
  <c r="I41" i="50"/>
  <c r="H41" i="50"/>
  <c r="G41" i="50"/>
  <c r="F41" i="50"/>
  <c r="E41" i="50"/>
  <c r="D41" i="50"/>
  <c r="C41" i="50"/>
  <c r="H40" i="50"/>
  <c r="G40" i="50"/>
  <c r="F40" i="50"/>
  <c r="E40" i="50"/>
  <c r="D40" i="50"/>
  <c r="K39" i="50"/>
  <c r="J39" i="50"/>
  <c r="I39" i="50"/>
  <c r="H39" i="50"/>
  <c r="G39" i="50"/>
  <c r="F39" i="50"/>
  <c r="E39" i="50"/>
  <c r="D39" i="50"/>
  <c r="C39" i="50"/>
  <c r="H38" i="50"/>
  <c r="G38" i="50"/>
  <c r="E38" i="50"/>
  <c r="D38" i="50"/>
  <c r="K37" i="50"/>
  <c r="J37" i="50"/>
  <c r="I37" i="50"/>
  <c r="H37" i="50"/>
  <c r="G37" i="50"/>
  <c r="E37" i="50"/>
  <c r="D37" i="50"/>
  <c r="C37" i="50"/>
  <c r="H36" i="50"/>
  <c r="G36" i="50"/>
  <c r="F36" i="50"/>
  <c r="E36" i="50"/>
  <c r="D36" i="50"/>
  <c r="K35" i="50"/>
  <c r="J35" i="50"/>
  <c r="I35" i="50"/>
  <c r="H35" i="50"/>
  <c r="G35" i="50"/>
  <c r="F35" i="50"/>
  <c r="E35" i="50"/>
  <c r="D35" i="50"/>
  <c r="C35" i="50"/>
  <c r="H34" i="50"/>
  <c r="G34" i="50"/>
  <c r="F34" i="50"/>
  <c r="D34" i="50"/>
  <c r="K33" i="50"/>
  <c r="J33" i="50"/>
  <c r="I33" i="50"/>
  <c r="H33" i="50"/>
  <c r="G33" i="50"/>
  <c r="F33" i="50"/>
  <c r="E33" i="50"/>
  <c r="D33" i="50"/>
  <c r="C33" i="50"/>
  <c r="Y5" i="51" l="1"/>
  <c r="AD4" i="51"/>
  <c r="Y4" i="51"/>
  <c r="Y5" i="33"/>
  <c r="AD4" i="33"/>
  <c r="Y4" i="33"/>
  <c r="Y5" i="32"/>
  <c r="AD4" i="32"/>
  <c r="Y4" i="32"/>
  <c r="K65" i="50" l="1"/>
  <c r="K51" i="50"/>
  <c r="K23" i="50"/>
  <c r="K69" i="50"/>
  <c r="K67" i="50"/>
  <c r="K63" i="50"/>
  <c r="K61" i="50"/>
  <c r="K57" i="50"/>
  <c r="K55" i="50"/>
  <c r="K53" i="50"/>
  <c r="K49" i="50"/>
  <c r="K47" i="50"/>
  <c r="K29" i="50"/>
  <c r="K27" i="50"/>
  <c r="K25" i="50"/>
  <c r="K21" i="50"/>
  <c r="K19" i="50"/>
  <c r="H72" i="50" l="1"/>
  <c r="G72" i="50"/>
  <c r="F72" i="50"/>
  <c r="E72" i="50"/>
  <c r="D72" i="50"/>
  <c r="K71" i="50"/>
  <c r="J71" i="50"/>
  <c r="I71" i="50"/>
  <c r="H71" i="50"/>
  <c r="G71" i="50"/>
  <c r="F71" i="50"/>
  <c r="E71" i="50"/>
  <c r="D71" i="50"/>
  <c r="C71" i="50"/>
  <c r="A71" i="50"/>
  <c r="H70" i="50"/>
  <c r="G70" i="50"/>
  <c r="F70" i="50"/>
  <c r="E70" i="50"/>
  <c r="D70" i="50"/>
  <c r="J69" i="50"/>
  <c r="I69" i="50"/>
  <c r="H69" i="50"/>
  <c r="G69" i="50"/>
  <c r="F69" i="50"/>
  <c r="E69" i="50"/>
  <c r="D69" i="50"/>
  <c r="C69" i="50"/>
  <c r="H68" i="50"/>
  <c r="G68" i="50"/>
  <c r="F68" i="50"/>
  <c r="E68" i="50"/>
  <c r="D68" i="50"/>
  <c r="J67" i="50"/>
  <c r="I67" i="50"/>
  <c r="H67" i="50"/>
  <c r="G67" i="50"/>
  <c r="F67" i="50"/>
  <c r="E67" i="50"/>
  <c r="D67" i="50"/>
  <c r="C67" i="50"/>
  <c r="H66" i="50"/>
  <c r="G66" i="50"/>
  <c r="E66" i="50"/>
  <c r="D66" i="50"/>
  <c r="J65" i="50"/>
  <c r="I65" i="50"/>
  <c r="H65" i="50"/>
  <c r="G65" i="50"/>
  <c r="E65" i="50"/>
  <c r="D65" i="50"/>
  <c r="C65" i="50"/>
  <c r="H64" i="50"/>
  <c r="G64" i="50"/>
  <c r="F64" i="50"/>
  <c r="E64" i="50"/>
  <c r="D64" i="50"/>
  <c r="J63" i="50"/>
  <c r="I63" i="50"/>
  <c r="H63" i="50"/>
  <c r="G63" i="50"/>
  <c r="F63" i="50"/>
  <c r="E63" i="50"/>
  <c r="D63" i="50"/>
  <c r="C63" i="50"/>
  <c r="H62" i="50"/>
  <c r="G62" i="50"/>
  <c r="F62" i="50"/>
  <c r="E62" i="50"/>
  <c r="D62" i="50"/>
  <c r="J61" i="50"/>
  <c r="I61" i="50"/>
  <c r="H61" i="50"/>
  <c r="G61" i="50"/>
  <c r="F61" i="50"/>
  <c r="E61" i="50"/>
  <c r="D61" i="50"/>
  <c r="C61" i="50"/>
  <c r="H58" i="50"/>
  <c r="G58" i="50"/>
  <c r="F58" i="50"/>
  <c r="E58" i="50"/>
  <c r="D58" i="50"/>
  <c r="J57" i="50"/>
  <c r="I57" i="50"/>
  <c r="H57" i="50"/>
  <c r="G57" i="50"/>
  <c r="F57" i="50"/>
  <c r="E57" i="50"/>
  <c r="D57" i="50"/>
  <c r="C57" i="50"/>
  <c r="A57" i="50"/>
  <c r="H56" i="50"/>
  <c r="G56" i="50"/>
  <c r="F56" i="50"/>
  <c r="E56" i="50"/>
  <c r="D56" i="50"/>
  <c r="J55" i="50"/>
  <c r="I55" i="50"/>
  <c r="H55" i="50"/>
  <c r="G55" i="50"/>
  <c r="F55" i="50"/>
  <c r="E55" i="50"/>
  <c r="D55" i="50"/>
  <c r="C55" i="50"/>
  <c r="H54" i="50"/>
  <c r="G54" i="50"/>
  <c r="F54" i="50"/>
  <c r="E54" i="50"/>
  <c r="D54" i="50"/>
  <c r="J53" i="50"/>
  <c r="I53" i="50"/>
  <c r="H53" i="50"/>
  <c r="G53" i="50"/>
  <c r="F53" i="50"/>
  <c r="E53" i="50"/>
  <c r="D53" i="50"/>
  <c r="C53" i="50"/>
  <c r="H52" i="50"/>
  <c r="G52" i="50"/>
  <c r="E52" i="50"/>
  <c r="D52" i="50"/>
  <c r="J51" i="50"/>
  <c r="I51" i="50"/>
  <c r="H51" i="50"/>
  <c r="G51" i="50"/>
  <c r="E51" i="50"/>
  <c r="D51" i="50"/>
  <c r="C51" i="50"/>
  <c r="H50" i="50"/>
  <c r="G50" i="50"/>
  <c r="F50" i="50"/>
  <c r="D50" i="50"/>
  <c r="J49" i="50"/>
  <c r="I49" i="50"/>
  <c r="H49" i="50"/>
  <c r="G49" i="50"/>
  <c r="F49" i="50"/>
  <c r="E49" i="50"/>
  <c r="D49" i="50"/>
  <c r="C49" i="50"/>
  <c r="H48" i="50"/>
  <c r="G48" i="50"/>
  <c r="F48" i="50"/>
  <c r="E48" i="50"/>
  <c r="D48" i="50"/>
  <c r="J47" i="50"/>
  <c r="I47" i="50"/>
  <c r="H47" i="50"/>
  <c r="G47" i="50"/>
  <c r="F47" i="50"/>
  <c r="E47" i="50"/>
  <c r="D47" i="50"/>
  <c r="C47" i="50"/>
  <c r="A1" i="52"/>
  <c r="AD267" i="32" l="1"/>
  <c r="AD200" i="32" l="1"/>
  <c r="AD199" i="32"/>
  <c r="T267" i="32"/>
  <c r="T199" i="32" s="1"/>
  <c r="T201" i="32" l="1"/>
  <c r="T200" i="32"/>
  <c r="AI184" i="32"/>
  <c r="AI5" i="32"/>
  <c r="AI4" i="32"/>
  <c r="H30" i="50" l="1"/>
  <c r="J29" i="50"/>
  <c r="A29" i="50"/>
  <c r="H28" i="50"/>
  <c r="J27" i="50"/>
  <c r="H26" i="50"/>
  <c r="J25" i="50"/>
  <c r="H24" i="50"/>
  <c r="J23" i="50"/>
  <c r="H22" i="50"/>
  <c r="J21" i="50"/>
  <c r="H20" i="50"/>
  <c r="J19" i="50"/>
  <c r="H16" i="50"/>
  <c r="K15" i="50"/>
  <c r="J15" i="50"/>
  <c r="H14" i="50"/>
  <c r="K13" i="50"/>
  <c r="J13" i="50"/>
  <c r="H12" i="50"/>
  <c r="K11" i="50"/>
  <c r="J11" i="50"/>
  <c r="H10" i="50"/>
  <c r="K9" i="50"/>
  <c r="J9" i="50"/>
  <c r="H8" i="50"/>
  <c r="K7" i="50"/>
  <c r="J7" i="50"/>
  <c r="H6" i="50"/>
  <c r="K5" i="50"/>
  <c r="J5" i="50"/>
  <c r="A5" i="50"/>
  <c r="K71" i="48"/>
  <c r="J71" i="48"/>
  <c r="A71" i="48"/>
  <c r="H70" i="48"/>
  <c r="K69" i="48"/>
  <c r="J69" i="48"/>
  <c r="H68" i="48"/>
  <c r="K67" i="48"/>
  <c r="J67" i="48"/>
  <c r="H66" i="48"/>
  <c r="K65" i="48"/>
  <c r="J65" i="48"/>
  <c r="H64" i="48"/>
  <c r="K63" i="48"/>
  <c r="J63" i="48"/>
  <c r="H62" i="48"/>
  <c r="K61" i="48"/>
  <c r="J61" i="48"/>
  <c r="H58" i="48"/>
  <c r="K57" i="48"/>
  <c r="J57" i="48"/>
  <c r="H56" i="48"/>
  <c r="K55" i="48"/>
  <c r="J55" i="48"/>
  <c r="H54" i="48"/>
  <c r="K53" i="48"/>
  <c r="J53" i="48"/>
  <c r="H52" i="48"/>
  <c r="K51" i="48"/>
  <c r="J51" i="48"/>
  <c r="H50" i="48"/>
  <c r="K49" i="48"/>
  <c r="J49" i="48"/>
  <c r="H48" i="48"/>
  <c r="K47" i="48"/>
  <c r="J47" i="48"/>
  <c r="H44" i="48"/>
  <c r="K43" i="48"/>
  <c r="J43" i="48"/>
  <c r="A43" i="48"/>
  <c r="H42" i="48"/>
  <c r="K41" i="48"/>
  <c r="J41" i="48"/>
  <c r="H40" i="48"/>
  <c r="K39" i="48"/>
  <c r="J39" i="48"/>
  <c r="H38" i="48"/>
  <c r="K37" i="48"/>
  <c r="J37" i="48"/>
  <c r="H36" i="48"/>
  <c r="K35" i="48"/>
  <c r="J35" i="48"/>
  <c r="H34" i="48"/>
  <c r="K33" i="48"/>
  <c r="J33" i="48"/>
  <c r="H30" i="48"/>
  <c r="K29" i="48"/>
  <c r="J29" i="48"/>
  <c r="A29" i="48"/>
  <c r="H28" i="48"/>
  <c r="K27" i="48"/>
  <c r="J27" i="48"/>
  <c r="H26" i="48"/>
  <c r="K25" i="48"/>
  <c r="J25" i="48"/>
  <c r="H24" i="48"/>
  <c r="K23" i="48"/>
  <c r="J23" i="48"/>
  <c r="H22" i="48"/>
  <c r="K21" i="48"/>
  <c r="J21" i="48"/>
  <c r="H20" i="48"/>
  <c r="K19" i="48"/>
  <c r="J19" i="48"/>
  <c r="H16" i="48"/>
  <c r="K15" i="48"/>
  <c r="J15" i="48"/>
  <c r="H14" i="48"/>
  <c r="K13" i="48"/>
  <c r="J13" i="48"/>
  <c r="H12" i="48"/>
  <c r="K11" i="48"/>
  <c r="J11" i="48"/>
  <c r="H10" i="48"/>
  <c r="K9" i="48"/>
  <c r="J9" i="48"/>
  <c r="H8" i="48"/>
  <c r="K7" i="48"/>
  <c r="J7" i="48"/>
  <c r="H6" i="48"/>
  <c r="K5" i="48"/>
  <c r="J5" i="48"/>
  <c r="A5" i="48"/>
  <c r="H70" i="46"/>
  <c r="K69" i="46"/>
  <c r="J69" i="46"/>
  <c r="H68" i="46"/>
  <c r="K67" i="46"/>
  <c r="J67" i="46"/>
  <c r="H66" i="46"/>
  <c r="K65" i="46"/>
  <c r="J65" i="46"/>
  <c r="H64" i="46"/>
  <c r="K63" i="46"/>
  <c r="J63" i="46"/>
  <c r="H62" i="46"/>
  <c r="K61" i="46"/>
  <c r="J61" i="46"/>
  <c r="H58" i="46"/>
  <c r="K57" i="46"/>
  <c r="J57" i="46"/>
  <c r="H56" i="46"/>
  <c r="K55" i="46"/>
  <c r="J55" i="46"/>
  <c r="H54" i="46"/>
  <c r="K53" i="46"/>
  <c r="J53" i="46"/>
  <c r="H52" i="46"/>
  <c r="K51" i="46"/>
  <c r="J51" i="46"/>
  <c r="H50" i="46"/>
  <c r="K49" i="46"/>
  <c r="J49" i="46"/>
  <c r="H48" i="46"/>
  <c r="K47" i="46"/>
  <c r="J47" i="46"/>
  <c r="H44" i="46"/>
  <c r="K43" i="46"/>
  <c r="J43" i="46"/>
  <c r="A43" i="46"/>
  <c r="H42" i="46"/>
  <c r="K41" i="46"/>
  <c r="J41" i="46"/>
  <c r="H40" i="46"/>
  <c r="K39" i="46"/>
  <c r="J39" i="46"/>
  <c r="H38" i="46"/>
  <c r="K37" i="46"/>
  <c r="J37" i="46"/>
  <c r="H36" i="46"/>
  <c r="K35" i="46"/>
  <c r="J35" i="46"/>
  <c r="H34" i="46"/>
  <c r="K33" i="46"/>
  <c r="J33" i="46"/>
  <c r="H30" i="46"/>
  <c r="K29" i="46"/>
  <c r="J29" i="46"/>
  <c r="A29" i="46"/>
  <c r="H28" i="46"/>
  <c r="K27" i="46"/>
  <c r="J27" i="46"/>
  <c r="H26" i="46"/>
  <c r="K25" i="46"/>
  <c r="J25" i="46"/>
  <c r="H24" i="46"/>
  <c r="K23" i="46"/>
  <c r="J23" i="46"/>
  <c r="H22" i="46"/>
  <c r="K21" i="46"/>
  <c r="J21" i="46"/>
  <c r="H20" i="46"/>
  <c r="K19" i="46"/>
  <c r="J19" i="46"/>
  <c r="H16" i="46"/>
  <c r="K15" i="46"/>
  <c r="J15" i="46"/>
  <c r="H14" i="46"/>
  <c r="K13" i="46"/>
  <c r="J13" i="46"/>
  <c r="H12" i="46"/>
  <c r="K11" i="46"/>
  <c r="J11" i="46"/>
  <c r="H10" i="46"/>
  <c r="K9" i="46"/>
  <c r="J9" i="46"/>
  <c r="H8" i="46"/>
  <c r="K7" i="46"/>
  <c r="J7" i="46"/>
  <c r="H6" i="46"/>
  <c r="K5" i="46"/>
  <c r="J5" i="46"/>
  <c r="A5" i="46"/>
  <c r="H72" i="46"/>
  <c r="K71" i="46"/>
  <c r="J71" i="46"/>
  <c r="A71" i="46"/>
  <c r="H72" i="48"/>
  <c r="M65" i="46" l="1"/>
  <c r="M37" i="46"/>
  <c r="M23" i="46"/>
  <c r="M51" i="46"/>
  <c r="G30" i="50" l="1"/>
  <c r="F30" i="50"/>
  <c r="E30" i="50"/>
  <c r="D30" i="50"/>
  <c r="I29" i="50"/>
  <c r="H29" i="50"/>
  <c r="G29" i="50"/>
  <c r="F29" i="50"/>
  <c r="E29" i="50"/>
  <c r="D29" i="50"/>
  <c r="C29" i="50"/>
  <c r="G28" i="50"/>
  <c r="F28" i="50"/>
  <c r="D28" i="50"/>
  <c r="I27" i="50"/>
  <c r="H27" i="50"/>
  <c r="G27" i="50"/>
  <c r="F27" i="50"/>
  <c r="E27" i="50"/>
  <c r="D27" i="50"/>
  <c r="C27" i="50"/>
  <c r="G26" i="50"/>
  <c r="F26" i="50"/>
  <c r="E26" i="50"/>
  <c r="D26" i="50"/>
  <c r="I25" i="50"/>
  <c r="H25" i="50"/>
  <c r="G25" i="50"/>
  <c r="F25" i="50"/>
  <c r="E25" i="50"/>
  <c r="D25" i="50"/>
  <c r="C25" i="50"/>
  <c r="G24" i="50"/>
  <c r="E24" i="50"/>
  <c r="I23" i="50"/>
  <c r="H23" i="50"/>
  <c r="G23" i="50"/>
  <c r="E23" i="50"/>
  <c r="D23" i="50"/>
  <c r="C23" i="50"/>
  <c r="G22" i="50"/>
  <c r="F22" i="50"/>
  <c r="D22" i="50"/>
  <c r="I21" i="50"/>
  <c r="H21" i="50"/>
  <c r="G21" i="50"/>
  <c r="F21" i="50"/>
  <c r="E21" i="50"/>
  <c r="D21" i="50"/>
  <c r="C21" i="50"/>
  <c r="G20" i="50"/>
  <c r="F20" i="50"/>
  <c r="E20" i="50"/>
  <c r="D20" i="50"/>
  <c r="I19" i="50"/>
  <c r="H19" i="50"/>
  <c r="G19" i="50"/>
  <c r="F19" i="50"/>
  <c r="E19" i="50"/>
  <c r="D19" i="50"/>
  <c r="C19" i="50"/>
  <c r="G16" i="50"/>
  <c r="F16" i="50"/>
  <c r="E16" i="50"/>
  <c r="D16" i="50"/>
  <c r="I15" i="50"/>
  <c r="H15" i="50"/>
  <c r="G15" i="50"/>
  <c r="F15" i="50"/>
  <c r="E15" i="50"/>
  <c r="D15" i="50"/>
  <c r="C15" i="50"/>
  <c r="G14" i="50"/>
  <c r="F14" i="50"/>
  <c r="D14" i="50"/>
  <c r="I13" i="50"/>
  <c r="H13" i="50"/>
  <c r="G13" i="50"/>
  <c r="F13" i="50"/>
  <c r="E13" i="50"/>
  <c r="D13" i="50"/>
  <c r="C13" i="50"/>
  <c r="G12" i="50"/>
  <c r="F12" i="50"/>
  <c r="D12" i="50"/>
  <c r="I11" i="50"/>
  <c r="H11" i="50"/>
  <c r="G11" i="50"/>
  <c r="F11" i="50"/>
  <c r="E11" i="50"/>
  <c r="D11" i="50"/>
  <c r="C11" i="50"/>
  <c r="G10" i="50"/>
  <c r="F10" i="50"/>
  <c r="E10" i="50"/>
  <c r="D10" i="50"/>
  <c r="I9" i="50"/>
  <c r="H9" i="50"/>
  <c r="G9" i="50"/>
  <c r="F9" i="50"/>
  <c r="E9" i="50"/>
  <c r="D9" i="50"/>
  <c r="C9" i="50"/>
  <c r="G8" i="50"/>
  <c r="F8" i="50"/>
  <c r="D8" i="50"/>
  <c r="I7" i="50"/>
  <c r="H7" i="50"/>
  <c r="G7" i="50"/>
  <c r="F7" i="50"/>
  <c r="E7" i="50"/>
  <c r="D7" i="50"/>
  <c r="C7" i="50"/>
  <c r="G6" i="50"/>
  <c r="F6" i="50"/>
  <c r="D6" i="50"/>
  <c r="I5" i="50"/>
  <c r="H5" i="50"/>
  <c r="G5" i="50"/>
  <c r="F5" i="50"/>
  <c r="E5" i="50"/>
  <c r="D5" i="50"/>
  <c r="C5" i="50"/>
  <c r="A3" i="50"/>
  <c r="A2" i="50"/>
  <c r="G72" i="46"/>
  <c r="F72" i="46"/>
  <c r="E72" i="46"/>
  <c r="D72" i="46"/>
  <c r="I71" i="46"/>
  <c r="H71" i="46"/>
  <c r="G71" i="46"/>
  <c r="F71" i="46"/>
  <c r="E71" i="46"/>
  <c r="D71" i="46"/>
  <c r="C71" i="46"/>
  <c r="G70" i="46"/>
  <c r="F70" i="46"/>
  <c r="E70" i="46"/>
  <c r="D70" i="46"/>
  <c r="I69" i="46"/>
  <c r="H69" i="46"/>
  <c r="G69" i="46"/>
  <c r="F69" i="46"/>
  <c r="E69" i="46"/>
  <c r="D69" i="46"/>
  <c r="C69" i="46"/>
  <c r="G68" i="46"/>
  <c r="F68" i="46"/>
  <c r="E68" i="46"/>
  <c r="D68" i="46"/>
  <c r="I67" i="46"/>
  <c r="H67" i="46"/>
  <c r="G67" i="46"/>
  <c r="F67" i="46"/>
  <c r="E67" i="46"/>
  <c r="D67" i="46"/>
  <c r="C67" i="46"/>
  <c r="G66" i="46"/>
  <c r="E66" i="46"/>
  <c r="D66" i="46"/>
  <c r="I65" i="46"/>
  <c r="H65" i="46"/>
  <c r="G65" i="46"/>
  <c r="E65" i="46"/>
  <c r="D65" i="46"/>
  <c r="C65" i="46"/>
  <c r="G64" i="46"/>
  <c r="F64" i="46"/>
  <c r="E64" i="46"/>
  <c r="D64" i="46"/>
  <c r="I63" i="46"/>
  <c r="H63" i="46"/>
  <c r="G63" i="46"/>
  <c r="F63" i="46"/>
  <c r="E63" i="46"/>
  <c r="D63" i="46"/>
  <c r="C63" i="46"/>
  <c r="G62" i="46"/>
  <c r="F62" i="46"/>
  <c r="E62" i="46"/>
  <c r="D62" i="46"/>
  <c r="I61" i="46"/>
  <c r="H61" i="46"/>
  <c r="G61" i="46"/>
  <c r="F61" i="46"/>
  <c r="E61" i="46"/>
  <c r="D61" i="46"/>
  <c r="C61" i="46"/>
  <c r="G58" i="46"/>
  <c r="F58" i="46"/>
  <c r="E58" i="46"/>
  <c r="D58" i="46"/>
  <c r="I57" i="46"/>
  <c r="H57" i="46"/>
  <c r="G57" i="46"/>
  <c r="F57" i="46"/>
  <c r="E57" i="46"/>
  <c r="D57" i="46"/>
  <c r="C57" i="46"/>
  <c r="G56" i="46"/>
  <c r="F56" i="46"/>
  <c r="E56" i="46"/>
  <c r="D56" i="46"/>
  <c r="I55" i="46"/>
  <c r="H55" i="46"/>
  <c r="G55" i="46"/>
  <c r="F55" i="46"/>
  <c r="E55" i="46"/>
  <c r="D55" i="46"/>
  <c r="C55" i="46"/>
  <c r="G54" i="46"/>
  <c r="F54" i="46"/>
  <c r="E54" i="46"/>
  <c r="D54" i="46"/>
  <c r="I53" i="46"/>
  <c r="H53" i="46"/>
  <c r="G53" i="46"/>
  <c r="F53" i="46"/>
  <c r="E53" i="46"/>
  <c r="D53" i="46"/>
  <c r="C53" i="46"/>
  <c r="G52" i="46"/>
  <c r="E52" i="46"/>
  <c r="D52" i="46"/>
  <c r="I51" i="46"/>
  <c r="H51" i="46"/>
  <c r="G51" i="46"/>
  <c r="E51" i="46"/>
  <c r="D51" i="46"/>
  <c r="C51" i="46"/>
  <c r="G50" i="46"/>
  <c r="F50" i="46"/>
  <c r="E50" i="46"/>
  <c r="D50" i="46"/>
  <c r="I49" i="46"/>
  <c r="H49" i="46"/>
  <c r="G49" i="46"/>
  <c r="F49" i="46"/>
  <c r="E49" i="46"/>
  <c r="D49" i="46"/>
  <c r="C49" i="46"/>
  <c r="G48" i="46"/>
  <c r="F48" i="46"/>
  <c r="E48" i="46"/>
  <c r="D48" i="46"/>
  <c r="I47" i="46"/>
  <c r="H47" i="46"/>
  <c r="G47" i="46"/>
  <c r="F47" i="46"/>
  <c r="E47" i="46"/>
  <c r="D47" i="46"/>
  <c r="C47" i="46"/>
  <c r="G44" i="46"/>
  <c r="F44" i="46"/>
  <c r="E44" i="46"/>
  <c r="D44" i="46"/>
  <c r="I43" i="46"/>
  <c r="H43" i="46"/>
  <c r="G43" i="46"/>
  <c r="F43" i="46"/>
  <c r="E43" i="46"/>
  <c r="D43" i="46"/>
  <c r="C43" i="46"/>
  <c r="G42" i="46"/>
  <c r="F42" i="46"/>
  <c r="E42" i="46"/>
  <c r="D42" i="46"/>
  <c r="I41" i="46"/>
  <c r="H41" i="46"/>
  <c r="G41" i="46"/>
  <c r="F41" i="46"/>
  <c r="E41" i="46"/>
  <c r="D41" i="46"/>
  <c r="C41" i="46"/>
  <c r="G40" i="46"/>
  <c r="F40" i="46"/>
  <c r="E40" i="46"/>
  <c r="D40" i="46"/>
  <c r="I39" i="46"/>
  <c r="H39" i="46"/>
  <c r="G39" i="46"/>
  <c r="F39" i="46"/>
  <c r="E39" i="46"/>
  <c r="D39" i="46"/>
  <c r="C39" i="46"/>
  <c r="G38" i="46"/>
  <c r="E38" i="46"/>
  <c r="D38" i="46"/>
  <c r="I37" i="46"/>
  <c r="H37" i="46"/>
  <c r="G37" i="46"/>
  <c r="E37" i="46"/>
  <c r="D37" i="46"/>
  <c r="C37" i="46"/>
  <c r="G36" i="46"/>
  <c r="F36" i="46"/>
  <c r="E36" i="46"/>
  <c r="D36" i="46"/>
  <c r="I35" i="46"/>
  <c r="H35" i="46"/>
  <c r="G35" i="46"/>
  <c r="F35" i="46"/>
  <c r="E35" i="46"/>
  <c r="D35" i="46"/>
  <c r="C35" i="46"/>
  <c r="G34" i="46"/>
  <c r="F34" i="46"/>
  <c r="E34" i="46"/>
  <c r="D34" i="46"/>
  <c r="I33" i="46"/>
  <c r="H33" i="46"/>
  <c r="G33" i="46"/>
  <c r="F33" i="46"/>
  <c r="E33" i="46"/>
  <c r="D33" i="46"/>
  <c r="C33" i="46"/>
  <c r="G30" i="46"/>
  <c r="F30" i="46"/>
  <c r="E30" i="46"/>
  <c r="D30" i="46"/>
  <c r="I29" i="46"/>
  <c r="H29" i="46"/>
  <c r="G29" i="46"/>
  <c r="F29" i="46"/>
  <c r="E29" i="46"/>
  <c r="D29" i="46"/>
  <c r="C29" i="46"/>
  <c r="G28" i="46"/>
  <c r="F28" i="46"/>
  <c r="E28" i="46"/>
  <c r="D28" i="46"/>
  <c r="I27" i="46"/>
  <c r="H27" i="46"/>
  <c r="G27" i="46"/>
  <c r="F27" i="46"/>
  <c r="E27" i="46"/>
  <c r="D27" i="46"/>
  <c r="C27" i="46"/>
  <c r="G26" i="46"/>
  <c r="F26" i="46"/>
  <c r="E26" i="46"/>
  <c r="D26" i="46"/>
  <c r="I25" i="46"/>
  <c r="H25" i="46"/>
  <c r="G25" i="46"/>
  <c r="F25" i="46"/>
  <c r="E25" i="46"/>
  <c r="D25" i="46"/>
  <c r="C25" i="46"/>
  <c r="G24" i="46"/>
  <c r="E24" i="46"/>
  <c r="D24" i="46"/>
  <c r="I23" i="46"/>
  <c r="H23" i="46"/>
  <c r="G23" i="46"/>
  <c r="E23" i="46"/>
  <c r="D23" i="46"/>
  <c r="C23" i="46"/>
  <c r="G22" i="46"/>
  <c r="F22" i="46"/>
  <c r="E22" i="46"/>
  <c r="D22" i="46"/>
  <c r="I21" i="46"/>
  <c r="H21" i="46"/>
  <c r="G21" i="46"/>
  <c r="F21" i="46"/>
  <c r="E21" i="46"/>
  <c r="D21" i="46"/>
  <c r="C21" i="46"/>
  <c r="G20" i="46"/>
  <c r="F20" i="46"/>
  <c r="E20" i="46"/>
  <c r="D20" i="46"/>
  <c r="I19" i="46"/>
  <c r="H19" i="46"/>
  <c r="G19" i="46"/>
  <c r="F19" i="46"/>
  <c r="E19" i="46"/>
  <c r="D19" i="46"/>
  <c r="C19" i="46"/>
  <c r="G16" i="46"/>
  <c r="F16" i="46"/>
  <c r="E16" i="46"/>
  <c r="D16" i="46"/>
  <c r="I15" i="46"/>
  <c r="H15" i="46"/>
  <c r="G15" i="46"/>
  <c r="F15" i="46"/>
  <c r="E15" i="46"/>
  <c r="D15" i="46"/>
  <c r="C15" i="46"/>
  <c r="G14" i="46"/>
  <c r="F14" i="46"/>
  <c r="E14" i="46"/>
  <c r="D14" i="46"/>
  <c r="I13" i="46"/>
  <c r="H13" i="46"/>
  <c r="G13" i="46"/>
  <c r="F13" i="46"/>
  <c r="E13" i="46"/>
  <c r="D13" i="46"/>
  <c r="C13" i="46"/>
  <c r="G12" i="46"/>
  <c r="F12" i="46"/>
  <c r="E12" i="46"/>
  <c r="D12" i="46"/>
  <c r="I11" i="46"/>
  <c r="H11" i="46"/>
  <c r="G11" i="46"/>
  <c r="F11" i="46"/>
  <c r="E11" i="46"/>
  <c r="D11" i="46"/>
  <c r="C11" i="46"/>
  <c r="G10" i="46"/>
  <c r="F10" i="46"/>
  <c r="E10" i="46"/>
  <c r="D10" i="46"/>
  <c r="I9" i="46"/>
  <c r="H9" i="46"/>
  <c r="G9" i="46"/>
  <c r="F9" i="46"/>
  <c r="E9" i="46"/>
  <c r="D9" i="46"/>
  <c r="C9" i="46"/>
  <c r="G8" i="46"/>
  <c r="F8" i="46"/>
  <c r="E8" i="46"/>
  <c r="D8" i="46"/>
  <c r="I7" i="46"/>
  <c r="H7" i="46"/>
  <c r="G7" i="46"/>
  <c r="F7" i="46"/>
  <c r="E7" i="46"/>
  <c r="D7" i="46"/>
  <c r="C7" i="46"/>
  <c r="G6" i="46"/>
  <c r="F6" i="46"/>
  <c r="E6" i="46"/>
  <c r="D6" i="46"/>
  <c r="I5" i="46"/>
  <c r="H5" i="46"/>
  <c r="G5" i="46"/>
  <c r="F5" i="46"/>
  <c r="E5" i="46"/>
  <c r="D5" i="46"/>
  <c r="C5" i="46"/>
  <c r="E72" i="48"/>
  <c r="E71" i="48"/>
  <c r="E70" i="48"/>
  <c r="E69" i="48"/>
  <c r="E68" i="48"/>
  <c r="E67" i="48"/>
  <c r="E66" i="48"/>
  <c r="E65" i="48"/>
  <c r="E64" i="48"/>
  <c r="E63" i="48"/>
  <c r="E62" i="48"/>
  <c r="E61" i="48"/>
  <c r="E16" i="48"/>
  <c r="E15" i="48"/>
  <c r="E14" i="48"/>
  <c r="E13" i="48"/>
  <c r="E12" i="48"/>
  <c r="E11" i="48"/>
  <c r="E10" i="48"/>
  <c r="E9" i="48"/>
  <c r="E8" i="48"/>
  <c r="E7" i="48"/>
  <c r="E6" i="48"/>
  <c r="E5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58" i="48"/>
  <c r="E57" i="48"/>
  <c r="E55" i="48"/>
  <c r="E56" i="48"/>
  <c r="E54" i="48"/>
  <c r="E53" i="48"/>
  <c r="E49" i="48"/>
  <c r="E50" i="48"/>
  <c r="E52" i="48"/>
  <c r="E51" i="48"/>
  <c r="E48" i="48"/>
  <c r="E47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G58" i="48"/>
  <c r="G57" i="48"/>
  <c r="G56" i="48"/>
  <c r="G55" i="48"/>
  <c r="G54" i="48"/>
  <c r="G53" i="48"/>
  <c r="G52" i="48"/>
  <c r="G51" i="48"/>
  <c r="G50" i="48"/>
  <c r="G49" i="48"/>
  <c r="G48" i="48"/>
  <c r="G47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16" i="48"/>
  <c r="G15" i="48"/>
  <c r="G14" i="48"/>
  <c r="G13" i="48"/>
  <c r="G12" i="48"/>
  <c r="G11" i="48"/>
  <c r="G10" i="48"/>
  <c r="G9" i="48"/>
  <c r="G8" i="48"/>
  <c r="G7" i="48"/>
  <c r="G6" i="48"/>
  <c r="G5" i="48"/>
  <c r="G30" i="48"/>
  <c r="G29" i="48"/>
  <c r="G27" i="48"/>
  <c r="G28" i="48"/>
  <c r="G26" i="48"/>
  <c r="G25" i="48"/>
  <c r="G23" i="48"/>
  <c r="G24" i="48"/>
  <c r="G22" i="48"/>
  <c r="G21" i="48"/>
  <c r="G20" i="48"/>
  <c r="G19" i="48"/>
  <c r="H23" i="48"/>
  <c r="H51" i="48"/>
  <c r="H71" i="48"/>
  <c r="H69" i="48"/>
  <c r="H67" i="48"/>
  <c r="H65" i="48"/>
  <c r="H63" i="48"/>
  <c r="H61" i="48"/>
  <c r="H57" i="48"/>
  <c r="H55" i="48"/>
  <c r="H53" i="48"/>
  <c r="H49" i="48"/>
  <c r="H47" i="48"/>
  <c r="H43" i="48"/>
  <c r="H41" i="48"/>
  <c r="H39" i="48"/>
  <c r="H37" i="48"/>
  <c r="H35" i="48"/>
  <c r="H33" i="48"/>
  <c r="H29" i="48"/>
  <c r="H27" i="48"/>
  <c r="H25" i="48"/>
  <c r="H21" i="48"/>
  <c r="H19" i="48"/>
  <c r="H15" i="48"/>
  <c r="H13" i="48"/>
  <c r="H11" i="48"/>
  <c r="H9" i="48"/>
  <c r="H7" i="48"/>
  <c r="H5" i="48"/>
  <c r="F10" i="48"/>
  <c r="F9" i="48"/>
  <c r="Q71" i="46" l="1"/>
  <c r="Q71" i="48"/>
  <c r="Q57" i="46"/>
  <c r="Q57" i="48"/>
  <c r="N67" i="46"/>
  <c r="N25" i="46"/>
  <c r="Q43" i="46"/>
  <c r="Q43" i="48"/>
  <c r="N65" i="46"/>
  <c r="O67" i="46"/>
  <c r="P69" i="48"/>
  <c r="P69" i="46"/>
  <c r="P41" i="48"/>
  <c r="P41" i="46"/>
  <c r="Q29" i="48"/>
  <c r="Q29" i="46"/>
  <c r="L19" i="46"/>
  <c r="O25" i="46"/>
  <c r="O25" i="48" s="1"/>
  <c r="P27" i="48"/>
  <c r="P27" i="46"/>
  <c r="L47" i="46"/>
  <c r="L33" i="46"/>
  <c r="N37" i="46"/>
  <c r="L35" i="46"/>
  <c r="N53" i="46"/>
  <c r="O53" i="46"/>
  <c r="N39" i="46"/>
  <c r="O39" i="46"/>
  <c r="M35" i="46"/>
  <c r="N23" i="46"/>
  <c r="L63" i="46"/>
  <c r="M63" i="46"/>
  <c r="M21" i="46"/>
  <c r="L21" i="46"/>
  <c r="P55" i="46"/>
  <c r="P55" i="48"/>
  <c r="N51" i="46"/>
  <c r="L61" i="46"/>
  <c r="M49" i="46"/>
  <c r="L49" i="46"/>
  <c r="O41" i="46" l="1"/>
  <c r="O27" i="46"/>
  <c r="O27" i="48" s="1"/>
  <c r="N69" i="46"/>
  <c r="P43" i="46"/>
  <c r="M27" i="46"/>
  <c r="L27" i="46"/>
  <c r="N27" i="46"/>
  <c r="L69" i="46"/>
  <c r="L71" i="46"/>
  <c r="M69" i="46"/>
  <c r="P43" i="48"/>
  <c r="L67" i="46"/>
  <c r="P29" i="48"/>
  <c r="P29" i="46"/>
  <c r="M43" i="46"/>
  <c r="L43" i="46"/>
  <c r="O19" i="46"/>
  <c r="M29" i="46"/>
  <c r="L29" i="46"/>
  <c r="O71" i="48"/>
  <c r="O71" i="46"/>
  <c r="N71" i="46"/>
  <c r="N71" i="48"/>
  <c r="O43" i="46"/>
  <c r="O43" i="48"/>
  <c r="N43" i="48"/>
  <c r="N43" i="46"/>
  <c r="Q19" i="48"/>
  <c r="Q19" i="46"/>
  <c r="O29" i="46"/>
  <c r="O29" i="48"/>
  <c r="N29" i="48"/>
  <c r="N29" i="46"/>
  <c r="P19" i="46"/>
  <c r="P19" i="48"/>
  <c r="O47" i="46"/>
  <c r="P47" i="46"/>
  <c r="P47" i="48"/>
  <c r="Q47" i="46"/>
  <c r="Q47" i="48"/>
  <c r="O33" i="46"/>
  <c r="P33" i="48"/>
  <c r="P33" i="46"/>
  <c r="Q33" i="46"/>
  <c r="Q33" i="48"/>
  <c r="M39" i="46"/>
  <c r="Q37" i="46"/>
  <c r="Q37" i="48"/>
  <c r="L39" i="46"/>
  <c r="L37" i="46"/>
  <c r="L55" i="46"/>
  <c r="M55" i="46"/>
  <c r="N55" i="46"/>
  <c r="M41" i="46"/>
  <c r="N41" i="46"/>
  <c r="L41" i="46"/>
  <c r="Q35" i="46"/>
  <c r="Q35" i="48"/>
  <c r="L25" i="46"/>
  <c r="M25" i="46"/>
  <c r="Q23" i="48"/>
  <c r="Q23" i="46"/>
  <c r="L65" i="46"/>
  <c r="Q63" i="46"/>
  <c r="Q63" i="48"/>
  <c r="P63" i="46"/>
  <c r="P63" i="48"/>
  <c r="P21" i="48"/>
  <c r="P21" i="46"/>
  <c r="L23" i="46"/>
  <c r="O55" i="46"/>
  <c r="M57" i="46"/>
  <c r="L57" i="46"/>
  <c r="O57" i="46"/>
  <c r="L53" i="46"/>
  <c r="Q51" i="46"/>
  <c r="Q51" i="48"/>
  <c r="M53" i="46"/>
  <c r="P71" i="46"/>
  <c r="O69" i="48"/>
  <c r="O69" i="46"/>
  <c r="P71" i="48"/>
  <c r="O61" i="46"/>
  <c r="Q61" i="48"/>
  <c r="Q61" i="46"/>
  <c r="P61" i="48"/>
  <c r="P61" i="46"/>
  <c r="P49" i="48"/>
  <c r="P49" i="46"/>
  <c r="L51" i="46"/>
  <c r="Q49" i="46"/>
  <c r="Q49" i="48"/>
  <c r="P57" i="46"/>
  <c r="P57" i="48"/>
  <c r="R29" i="46" l="1"/>
  <c r="A1" i="33" l="1"/>
  <c r="A1" i="32"/>
  <c r="A1" i="31"/>
  <c r="A2" i="48" l="1"/>
  <c r="A3" i="48"/>
  <c r="M71" i="46" l="1"/>
  <c r="P35" i="46" l="1"/>
  <c r="P35" i="48"/>
  <c r="F72" i="48" l="1"/>
  <c r="D72" i="48"/>
  <c r="I71" i="48"/>
  <c r="F71" i="48"/>
  <c r="D71" i="48"/>
  <c r="C71" i="48"/>
  <c r="F70" i="48"/>
  <c r="D70" i="48"/>
  <c r="I69" i="48"/>
  <c r="F69" i="48"/>
  <c r="D69" i="48"/>
  <c r="C69" i="48"/>
  <c r="F68" i="48"/>
  <c r="D68" i="48"/>
  <c r="I67" i="48"/>
  <c r="F67" i="48"/>
  <c r="D67" i="48"/>
  <c r="C67" i="48"/>
  <c r="D66" i="48"/>
  <c r="I65" i="48"/>
  <c r="D65" i="48"/>
  <c r="C65" i="48"/>
  <c r="F64" i="48"/>
  <c r="D64" i="48"/>
  <c r="I63" i="48"/>
  <c r="F63" i="48"/>
  <c r="D63" i="48"/>
  <c r="C63" i="48"/>
  <c r="F62" i="48"/>
  <c r="D62" i="48"/>
  <c r="I61" i="48"/>
  <c r="F61" i="48"/>
  <c r="D61" i="48"/>
  <c r="C61" i="48"/>
  <c r="F58" i="48"/>
  <c r="D58" i="48"/>
  <c r="I57" i="48"/>
  <c r="F57" i="48"/>
  <c r="D57" i="48"/>
  <c r="C57" i="48"/>
  <c r="F56" i="48"/>
  <c r="D56" i="48"/>
  <c r="I55" i="48"/>
  <c r="F55" i="48"/>
  <c r="D55" i="48"/>
  <c r="C55" i="48"/>
  <c r="F54" i="48"/>
  <c r="D54" i="48"/>
  <c r="I53" i="48"/>
  <c r="F53" i="48"/>
  <c r="D53" i="48"/>
  <c r="C53" i="48"/>
  <c r="D52" i="48"/>
  <c r="I51" i="48"/>
  <c r="D51" i="48"/>
  <c r="C51" i="48"/>
  <c r="F50" i="48"/>
  <c r="D50" i="48"/>
  <c r="I49" i="48"/>
  <c r="F49" i="48"/>
  <c r="D49" i="48"/>
  <c r="C49" i="48"/>
  <c r="F48" i="48"/>
  <c r="D48" i="48"/>
  <c r="I47" i="48"/>
  <c r="F47" i="48"/>
  <c r="D47" i="48"/>
  <c r="C47" i="48"/>
  <c r="F44" i="48"/>
  <c r="D44" i="48"/>
  <c r="I43" i="48"/>
  <c r="F43" i="48"/>
  <c r="D43" i="48"/>
  <c r="C43" i="48"/>
  <c r="F42" i="48"/>
  <c r="D42" i="48"/>
  <c r="I41" i="48"/>
  <c r="F41" i="48"/>
  <c r="D41" i="48"/>
  <c r="C41" i="48"/>
  <c r="F40" i="48"/>
  <c r="D40" i="48"/>
  <c r="I39" i="48"/>
  <c r="F39" i="48"/>
  <c r="D39" i="48"/>
  <c r="C39" i="48"/>
  <c r="D38" i="48"/>
  <c r="I37" i="48"/>
  <c r="D37" i="48"/>
  <c r="C37" i="48"/>
  <c r="F36" i="48"/>
  <c r="D36" i="48"/>
  <c r="I35" i="48"/>
  <c r="F35" i="48"/>
  <c r="D35" i="48"/>
  <c r="C35" i="48"/>
  <c r="F34" i="48"/>
  <c r="D34" i="48"/>
  <c r="I33" i="48"/>
  <c r="F33" i="48"/>
  <c r="D33" i="48"/>
  <c r="C33" i="48"/>
  <c r="F30" i="48"/>
  <c r="D30" i="48"/>
  <c r="I29" i="48"/>
  <c r="F29" i="48"/>
  <c r="D29" i="48"/>
  <c r="C29" i="48"/>
  <c r="F28" i="48"/>
  <c r="D28" i="48"/>
  <c r="I27" i="48"/>
  <c r="F27" i="48"/>
  <c r="D27" i="48"/>
  <c r="C27" i="48"/>
  <c r="F26" i="48"/>
  <c r="D26" i="48"/>
  <c r="I25" i="48"/>
  <c r="F25" i="48"/>
  <c r="D25" i="48"/>
  <c r="C25" i="48"/>
  <c r="D24" i="48"/>
  <c r="I23" i="48"/>
  <c r="D23" i="48"/>
  <c r="C23" i="48"/>
  <c r="F22" i="48"/>
  <c r="D22" i="48"/>
  <c r="I21" i="48"/>
  <c r="F21" i="48"/>
  <c r="D21" i="48"/>
  <c r="C21" i="48"/>
  <c r="F20" i="48"/>
  <c r="D20" i="48"/>
  <c r="I19" i="48"/>
  <c r="F19" i="48"/>
  <c r="D19" i="48"/>
  <c r="C19" i="48"/>
  <c r="F16" i="48"/>
  <c r="D16" i="48"/>
  <c r="I15" i="48"/>
  <c r="F15" i="48"/>
  <c r="D15" i="48"/>
  <c r="C15" i="48"/>
  <c r="F14" i="48"/>
  <c r="D14" i="48"/>
  <c r="I13" i="48"/>
  <c r="F13" i="48"/>
  <c r="D13" i="48"/>
  <c r="C13" i="48"/>
  <c r="F12" i="48"/>
  <c r="D12" i="48"/>
  <c r="I11" i="48"/>
  <c r="F11" i="48"/>
  <c r="D11" i="48"/>
  <c r="C11" i="48"/>
  <c r="D10" i="48"/>
  <c r="I9" i="48"/>
  <c r="D9" i="48"/>
  <c r="C9" i="48"/>
  <c r="F8" i="48"/>
  <c r="D8" i="48"/>
  <c r="I7" i="48"/>
  <c r="F7" i="48"/>
  <c r="D7" i="48"/>
  <c r="C7" i="48"/>
  <c r="F6" i="48"/>
  <c r="D6" i="48"/>
  <c r="I5" i="48"/>
  <c r="F5" i="48"/>
  <c r="D5" i="48"/>
  <c r="C5" i="48"/>
  <c r="M67" i="46" l="1"/>
  <c r="N57" i="46"/>
  <c r="Q21" i="48" l="1"/>
  <c r="Q21" i="46"/>
  <c r="O37" i="46"/>
  <c r="Q69" i="48"/>
  <c r="Q65" i="46"/>
  <c r="Q65" i="48"/>
  <c r="Q69" i="46" l="1"/>
  <c r="N13" i="46"/>
  <c r="O15" i="46"/>
  <c r="O11" i="46"/>
  <c r="O11" i="48" s="1"/>
  <c r="P9" i="46"/>
  <c r="P9" i="48"/>
  <c r="O13" i="46"/>
  <c r="N9" i="46"/>
  <c r="N9" i="48" s="1"/>
  <c r="Q15" i="48"/>
  <c r="Q15" i="46"/>
  <c r="P13" i="46"/>
  <c r="P13" i="48"/>
  <c r="N11" i="46"/>
  <c r="O9" i="46"/>
  <c r="O9" i="48" s="1"/>
  <c r="P15" i="48"/>
  <c r="P15" i="46"/>
  <c r="N15" i="46"/>
  <c r="Q11" i="48"/>
  <c r="Q11" i="46"/>
  <c r="P11" i="48"/>
  <c r="P11" i="46"/>
  <c r="M15" i="46"/>
  <c r="Q13" i="48"/>
  <c r="Q13" i="46"/>
  <c r="P53" i="48"/>
  <c r="P53" i="46"/>
  <c r="Q9" i="48"/>
  <c r="Q9" i="46"/>
  <c r="L15" i="46"/>
  <c r="P5" i="48"/>
  <c r="M5" i="46"/>
  <c r="P5" i="46"/>
  <c r="Q5" i="48"/>
  <c r="Q5" i="46"/>
  <c r="O5" i="48"/>
  <c r="O5" i="46"/>
  <c r="N5" i="46"/>
  <c r="N5" i="48"/>
  <c r="R15" i="46" l="1"/>
  <c r="R69" i="46"/>
  <c r="R43" i="46"/>
  <c r="R71" i="46"/>
  <c r="O21" i="46"/>
  <c r="O21" i="48" s="1"/>
  <c r="N61" i="46" l="1"/>
  <c r="Q25" i="48" l="1"/>
  <c r="Q53" i="46"/>
  <c r="P65" i="48"/>
  <c r="P65" i="46"/>
  <c r="N19" i="46"/>
  <c r="Q53" i="48"/>
  <c r="O49" i="46"/>
  <c r="O35" i="46"/>
  <c r="O65" i="46"/>
  <c r="M47" i="46"/>
  <c r="O51" i="46"/>
  <c r="O51" i="48" s="1"/>
  <c r="M33" i="46"/>
  <c r="Q39" i="46"/>
  <c r="Q27" i="48"/>
  <c r="Q27" i="46"/>
  <c r="R27" i="46" s="1"/>
  <c r="Q67" i="46"/>
  <c r="N35" i="46"/>
  <c r="P23" i="48"/>
  <c r="P23" i="46"/>
  <c r="Q25" i="46"/>
  <c r="Q67" i="48"/>
  <c r="P37" i="48"/>
  <c r="P37" i="46"/>
  <c r="P51" i="46"/>
  <c r="P51" i="48"/>
  <c r="N49" i="46"/>
  <c r="N21" i="46"/>
  <c r="R21" i="46" s="1"/>
  <c r="M19" i="46"/>
  <c r="L11" i="46"/>
  <c r="L13" i="46"/>
  <c r="M13" i="46" l="1"/>
  <c r="M9" i="46"/>
  <c r="M9" i="48" s="1"/>
  <c r="Q39" i="48"/>
  <c r="L5" i="46"/>
  <c r="R5" i="46" s="1"/>
  <c r="L5" i="48"/>
  <c r="Q55" i="48"/>
  <c r="Q55" i="46"/>
  <c r="O23" i="46"/>
  <c r="M11" i="46"/>
  <c r="R11" i="46" s="1"/>
  <c r="N63" i="46"/>
  <c r="M61" i="46"/>
  <c r="L9" i="46"/>
  <c r="L9" i="48" s="1"/>
  <c r="N47" i="46"/>
  <c r="P25" i="48"/>
  <c r="P25" i="46"/>
  <c r="R25" i="46" s="1"/>
  <c r="N33" i="46"/>
  <c r="P67" i="48"/>
  <c r="P67" i="46"/>
  <c r="O63" i="46"/>
  <c r="P39" i="46"/>
  <c r="P39" i="48"/>
  <c r="Q41" i="46"/>
  <c r="Q41" i="48"/>
  <c r="R51" i="46"/>
  <c r="O23" i="48" l="1"/>
  <c r="R23" i="46"/>
  <c r="R9" i="46"/>
  <c r="O65" i="48" l="1"/>
  <c r="R65" i="46" l="1"/>
  <c r="L2" i="31" l="1"/>
  <c r="A7" i="50" l="1"/>
  <c r="A7" i="48"/>
  <c r="A7" i="46"/>
  <c r="O57" i="48"/>
  <c r="O47" i="48"/>
  <c r="O49" i="48"/>
  <c r="O53" i="48"/>
  <c r="O55" i="48"/>
  <c r="O19" i="48"/>
  <c r="O13" i="48"/>
  <c r="O33" i="48"/>
  <c r="O35" i="48"/>
  <c r="O37" i="48"/>
  <c r="O39" i="48"/>
  <c r="O41" i="48"/>
  <c r="O67" i="48"/>
  <c r="O61" i="48"/>
  <c r="O63" i="48"/>
  <c r="Q2" i="31"/>
  <c r="A9" i="50" l="1"/>
  <c r="A9" i="48"/>
  <c r="A9" i="46"/>
  <c r="R57" i="46"/>
  <c r="R19" i="46"/>
  <c r="R55" i="46"/>
  <c r="R53" i="46"/>
  <c r="R49" i="46"/>
  <c r="R47" i="46"/>
  <c r="R13" i="46"/>
  <c r="R33" i="46"/>
  <c r="R41" i="46"/>
  <c r="R37" i="46"/>
  <c r="R35" i="46"/>
  <c r="R39" i="46"/>
  <c r="R63" i="46"/>
  <c r="R61" i="46"/>
  <c r="R67" i="46"/>
  <c r="V2" i="31"/>
  <c r="A11" i="50" l="1"/>
  <c r="A11" i="48"/>
  <c r="A11" i="46"/>
  <c r="M7" i="46"/>
  <c r="L7" i="46"/>
  <c r="L7" i="48"/>
  <c r="O7" i="48"/>
  <c r="O7" i="46"/>
  <c r="P7" i="46"/>
  <c r="P7" i="48"/>
  <c r="Q7" i="48"/>
  <c r="Q7" i="46"/>
  <c r="N7" i="48"/>
  <c r="N7" i="46"/>
  <c r="AA2" i="31"/>
  <c r="AF2" i="31" s="1"/>
  <c r="A15" i="48" l="1"/>
  <c r="A15" i="46"/>
  <c r="A15" i="50"/>
  <c r="A13" i="50"/>
  <c r="A13" i="48"/>
  <c r="A13" i="46"/>
  <c r="R7" i="46"/>
  <c r="G2" i="32"/>
  <c r="A19" i="50" l="1"/>
  <c r="A19" i="48"/>
  <c r="A19" i="46"/>
  <c r="L2" i="32"/>
  <c r="A21" i="50" l="1"/>
  <c r="A21" i="48"/>
  <c r="A21" i="46"/>
  <c r="Q2" i="32"/>
  <c r="A23" i="50" l="1"/>
  <c r="A23" i="48"/>
  <c r="A23" i="46"/>
  <c r="V2" i="32"/>
  <c r="A25" i="50" l="1"/>
  <c r="A25" i="48"/>
  <c r="A25" i="46"/>
  <c r="AA2" i="32"/>
  <c r="A27" i="50" l="1"/>
  <c r="A27" i="48"/>
  <c r="A27" i="46"/>
  <c r="G2" i="33"/>
  <c r="A33" i="50" s="1"/>
  <c r="A33" i="48" l="1"/>
  <c r="A33" i="46"/>
  <c r="L2" i="33"/>
  <c r="A35" i="50" s="1"/>
  <c r="A35" i="48" l="1"/>
  <c r="A35" i="46"/>
  <c r="Q2" i="33"/>
  <c r="A37" i="50" s="1"/>
  <c r="A37" i="48" l="1"/>
  <c r="A37" i="46"/>
  <c r="V2" i="33"/>
  <c r="A39" i="50" s="1"/>
  <c r="A39" i="48" l="1"/>
  <c r="A39" i="46"/>
  <c r="AA2" i="33"/>
  <c r="G2" i="51" l="1"/>
  <c r="A47" i="50" s="1"/>
  <c r="A41" i="50"/>
  <c r="A41" i="48"/>
  <c r="A41" i="46"/>
  <c r="L2" i="51" l="1"/>
  <c r="Q2" i="51" s="1"/>
  <c r="A47" i="48"/>
  <c r="A47" i="46"/>
  <c r="A49" i="50" l="1"/>
  <c r="V2" i="51"/>
  <c r="A51" i="50"/>
  <c r="A49" i="48"/>
  <c r="A49" i="46"/>
  <c r="AA2" i="51" l="1"/>
  <c r="A53" i="50"/>
  <c r="A51" i="48"/>
  <c r="A51" i="46"/>
  <c r="A55" i="50" l="1"/>
  <c r="G2" i="52"/>
  <c r="A53" i="48"/>
  <c r="A53" i="46"/>
  <c r="L2" i="52" l="1"/>
  <c r="A61" i="50"/>
  <c r="A55" i="48"/>
  <c r="A55" i="46"/>
  <c r="Q2" i="52" l="1"/>
  <c r="A63" i="50"/>
  <c r="A57" i="46"/>
  <c r="A57" i="48"/>
  <c r="A61" i="48"/>
  <c r="A61" i="46"/>
  <c r="V2" i="52" l="1"/>
  <c r="A65" i="50"/>
  <c r="A63" i="48"/>
  <c r="A63" i="46"/>
  <c r="AA2" i="52" l="1"/>
  <c r="A69" i="50" s="1"/>
  <c r="A67" i="50"/>
  <c r="A65" i="48"/>
  <c r="A65" i="46"/>
  <c r="A67" i="48" l="1"/>
  <c r="A67" i="46"/>
  <c r="A69" i="48" l="1"/>
  <c r="A69" i="46"/>
  <c r="M7" i="48" l="1"/>
  <c r="R7" i="48" s="1"/>
  <c r="L11" i="48"/>
  <c r="L65" i="48"/>
  <c r="L51" i="48"/>
  <c r="L67" i="48"/>
  <c r="L47" i="48"/>
  <c r="L21" i="48"/>
  <c r="L27" i="48"/>
  <c r="L63" i="48"/>
  <c r="L25" i="48"/>
  <c r="L55" i="48"/>
  <c r="L19" i="48"/>
  <c r="L29" i="48"/>
  <c r="L39" i="48"/>
  <c r="L33" i="48"/>
  <c r="L41" i="48"/>
  <c r="L23" i="48"/>
  <c r="L57" i="48"/>
  <c r="L13" i="48"/>
  <c r="L61" i="48"/>
  <c r="L35" i="48"/>
  <c r="L53" i="48"/>
  <c r="L49" i="48"/>
  <c r="L37" i="48"/>
  <c r="M5" i="48"/>
  <c r="R5" i="48" s="1"/>
  <c r="L71" i="48"/>
  <c r="L43" i="48"/>
  <c r="L15" i="48"/>
  <c r="L69" i="48"/>
  <c r="N33" i="48"/>
  <c r="M35" i="48"/>
  <c r="N51" i="48"/>
  <c r="N13" i="48"/>
  <c r="M15" i="48"/>
  <c r="N19" i="48"/>
  <c r="N37" i="48"/>
  <c r="N55" i="48"/>
  <c r="N11" i="48"/>
  <c r="M11" i="48"/>
  <c r="M39" i="48"/>
  <c r="N21" i="48"/>
  <c r="N39" i="48"/>
  <c r="N57" i="48"/>
  <c r="M61" i="48"/>
  <c r="N53" i="48"/>
  <c r="M55" i="48"/>
  <c r="M13" i="48"/>
  <c r="M41" i="48"/>
  <c r="N23" i="48"/>
  <c r="M25" i="48"/>
  <c r="N41" i="48"/>
  <c r="M43" i="48"/>
  <c r="N61" i="48"/>
  <c r="M63" i="48"/>
  <c r="N25" i="48"/>
  <c r="M27" i="48"/>
  <c r="N63" i="48"/>
  <c r="M65" i="48"/>
  <c r="M19" i="48"/>
  <c r="M21" i="48"/>
  <c r="N27" i="48"/>
  <c r="M29" i="48"/>
  <c r="N47" i="48"/>
  <c r="M49" i="48"/>
  <c r="N65" i="48"/>
  <c r="M67" i="48"/>
  <c r="M57" i="48"/>
  <c r="N35" i="48"/>
  <c r="M37" i="48"/>
  <c r="M47" i="48"/>
  <c r="M23" i="48"/>
  <c r="M53" i="48"/>
  <c r="M33" i="48"/>
  <c r="N49" i="48"/>
  <c r="M51" i="48"/>
  <c r="N67" i="48"/>
  <c r="M69" i="48"/>
  <c r="M71" i="48"/>
  <c r="R23" i="48" l="1"/>
  <c r="R21" i="48"/>
  <c r="R29" i="48"/>
  <c r="R25" i="48"/>
  <c r="R27" i="48"/>
  <c r="R15" i="48"/>
  <c r="R9" i="48"/>
  <c r="R63" i="48"/>
  <c r="R71" i="48"/>
  <c r="R57" i="48"/>
  <c r="R69" i="48"/>
  <c r="R53" i="48"/>
  <c r="R35" i="48"/>
  <c r="R47" i="48"/>
  <c r="R19" i="48"/>
  <c r="R51" i="48"/>
  <c r="R55" i="48"/>
  <c r="R33" i="48"/>
  <c r="R11" i="48"/>
  <c r="R49" i="48"/>
  <c r="R43" i="48"/>
  <c r="R37" i="48"/>
  <c r="R41" i="48"/>
  <c r="R39" i="48"/>
  <c r="R61" i="48"/>
  <c r="R65" i="48"/>
  <c r="R67" i="48"/>
  <c r="R13" i="48"/>
</calcChain>
</file>

<file path=xl/sharedStrings.xml><?xml version="1.0" encoding="utf-8"?>
<sst xmlns="http://schemas.openxmlformats.org/spreadsheetml/2006/main" count="2778" uniqueCount="410">
  <si>
    <t>kg</t>
    <phoneticPr fontId="16" type="noConversion"/>
  </si>
  <si>
    <t>片</t>
    <phoneticPr fontId="16" type="noConversion"/>
  </si>
  <si>
    <t>蒜粗</t>
  </si>
  <si>
    <t>單位</t>
  </si>
  <si>
    <t>數量</t>
  </si>
  <si>
    <t>kg</t>
  </si>
  <si>
    <t>胡蘿蔔</t>
    <phoneticPr fontId="16" type="noConversion"/>
  </si>
  <si>
    <t>水果</t>
  </si>
  <si>
    <t>洋芋</t>
    <phoneticPr fontId="16" type="noConversion"/>
  </si>
  <si>
    <t>備份</t>
  </si>
  <si>
    <t>份</t>
  </si>
  <si>
    <t>一</t>
  </si>
  <si>
    <t>人</t>
  </si>
  <si>
    <t>二</t>
  </si>
  <si>
    <t>三</t>
  </si>
  <si>
    <t>四</t>
  </si>
  <si>
    <t>五</t>
  </si>
  <si>
    <t>六</t>
  </si>
  <si>
    <t>菜名</t>
  </si>
  <si>
    <t>食材</t>
  </si>
  <si>
    <t>規格</t>
  </si>
  <si>
    <t>包</t>
    <phoneticPr fontId="16" type="noConversion"/>
  </si>
  <si>
    <t>一</t>
    <phoneticPr fontId="16" type="noConversion"/>
  </si>
  <si>
    <t>二</t>
    <phoneticPr fontId="16" type="noConversion"/>
  </si>
  <si>
    <t>三</t>
    <phoneticPr fontId="16" type="noConversion"/>
  </si>
  <si>
    <t>四</t>
    <phoneticPr fontId="16" type="noConversion"/>
  </si>
  <si>
    <t>日</t>
  </si>
  <si>
    <t>桶</t>
    <phoneticPr fontId="16" type="noConversion"/>
  </si>
  <si>
    <t>蔬菜類</t>
  </si>
  <si>
    <t>水果類</t>
  </si>
  <si>
    <t>油脂與堅果種子類</t>
    <phoneticPr fontId="16" type="noConversion"/>
  </si>
  <si>
    <t>日期</t>
  </si>
  <si>
    <t>星期</t>
  </si>
  <si>
    <t>主食</t>
  </si>
  <si>
    <t>蔬菜</t>
  </si>
  <si>
    <t>附餐
二</t>
    <phoneticPr fontId="24" type="noConversion"/>
  </si>
  <si>
    <t>熱量</t>
  </si>
  <si>
    <t>五</t>
    <phoneticPr fontId="16" type="noConversion"/>
  </si>
  <si>
    <t>六</t>
    <phoneticPr fontId="16" type="noConversion"/>
  </si>
  <si>
    <t>日</t>
    <phoneticPr fontId="16" type="noConversion"/>
  </si>
  <si>
    <t>主菜1</t>
    <phoneticPr fontId="16" type="noConversion"/>
  </si>
  <si>
    <t>主菜2</t>
    <phoneticPr fontId="16" type="noConversion"/>
  </si>
  <si>
    <t>(1)本校使用豬肉及豬原料原產地為台灣</t>
    <phoneticPr fontId="31" type="noConversion"/>
  </si>
  <si>
    <t>(2)本校未使用輻射污染食品</t>
    <phoneticPr fontId="31" type="noConversion"/>
  </si>
  <si>
    <t>(3)本菜單含有過敏原食材以★標示，不適合對其過敏體質者食用</t>
    <phoneticPr fontId="31" type="noConversion"/>
  </si>
  <si>
    <t>全榖雜糧類</t>
    <phoneticPr fontId="16" type="noConversion"/>
  </si>
  <si>
    <t>豆魚蛋肉類</t>
    <phoneticPr fontId="16" type="noConversion"/>
  </si>
  <si>
    <t>主食二</t>
  </si>
  <si>
    <t>主菜</t>
  </si>
  <si>
    <t>主菜二</t>
  </si>
  <si>
    <t>主菜三</t>
  </si>
  <si>
    <t>主菜四</t>
  </si>
  <si>
    <t>副菜</t>
  </si>
  <si>
    <t>副菜二</t>
  </si>
  <si>
    <t>副菜三</t>
  </si>
  <si>
    <t>副菜四</t>
  </si>
  <si>
    <t>副菜五</t>
  </si>
  <si>
    <t>副菜六</t>
  </si>
  <si>
    <t>湯</t>
  </si>
  <si>
    <t>附餐</t>
  </si>
  <si>
    <t>附餐二</t>
  </si>
  <si>
    <t>※經營養師審核：                 □通過                                                                   □不通過(原因：     )</t>
  </si>
  <si>
    <t>午餐秘書：                                                                         主任：                                                                          校長：</t>
  </si>
  <si>
    <t>本菜單含有過敏原食材以★標示，不適合對其過敏體質者食用</t>
  </si>
  <si>
    <t>本校使用豬肉及豬原料原產地為台灣</t>
  </si>
  <si>
    <t>附餐
一</t>
    <phoneticPr fontId="24" type="noConversion"/>
  </si>
  <si>
    <t>乳品類</t>
    <phoneticPr fontId="16" type="noConversion"/>
  </si>
  <si>
    <t>副菜1</t>
    <phoneticPr fontId="24" type="noConversion"/>
  </si>
  <si>
    <t>副菜2</t>
    <phoneticPr fontId="24" type="noConversion"/>
  </si>
  <si>
    <t>營養分析</t>
  </si>
  <si>
    <t>全榖雜糧</t>
  </si>
  <si>
    <t>豆魚蛋肉</t>
  </si>
  <si>
    <t>乳品/水果</t>
  </si>
  <si>
    <t>油脂與堅果種子</t>
  </si>
  <si>
    <t>粗蛋白</t>
  </si>
  <si>
    <t>粗脂肪</t>
  </si>
  <si>
    <t>總碳水化合物</t>
  </si>
  <si>
    <t>高中</t>
    <phoneticPr fontId="16" type="noConversion"/>
  </si>
  <si>
    <t>基隆市安樂高中、長樂安樂港西國小</t>
    <phoneticPr fontId="24" type="noConversion"/>
  </si>
  <si>
    <t>國小+幼兒園</t>
    <phoneticPr fontId="16" type="noConversion"/>
  </si>
  <si>
    <t>湯品</t>
    <phoneticPr fontId="24" type="noConversion"/>
  </si>
  <si>
    <t xml:space="preserve">附餐
</t>
    <phoneticPr fontId="24" type="noConversion"/>
  </si>
  <si>
    <t>kg</t>
    <phoneticPr fontId="18" type="noConversion"/>
  </si>
  <si>
    <t>冷凍玉米粒</t>
    <phoneticPr fontId="16" type="noConversion"/>
  </si>
  <si>
    <t>湯(國小+幼兒園)</t>
    <phoneticPr fontId="16" type="noConversion"/>
  </si>
  <si>
    <t>素食</t>
    <phoneticPr fontId="16" type="noConversion"/>
  </si>
  <si>
    <t>清炒時蔬</t>
  </si>
  <si>
    <t>時令鮮蔬</t>
  </si>
  <si>
    <t>截切水果</t>
  </si>
  <si>
    <t>牛奶</t>
  </si>
  <si>
    <t>保久乳</t>
  </si>
  <si>
    <t>豆漿</t>
  </si>
  <si>
    <t>豬前腿肉</t>
    <phoneticPr fontId="16" type="noConversion"/>
  </si>
  <si>
    <t>胡蘿蔔</t>
  </si>
  <si>
    <t>大蒜</t>
    <phoneticPr fontId="16" type="noConversion"/>
  </si>
  <si>
    <t>粗</t>
    <phoneticPr fontId="16" type="noConversion"/>
  </si>
  <si>
    <t>丁</t>
    <phoneticPr fontId="16" type="noConversion"/>
  </si>
  <si>
    <t>絲</t>
    <phoneticPr fontId="16" type="noConversion"/>
  </si>
  <si>
    <t>青蔥</t>
    <phoneticPr fontId="16" type="noConversion"/>
  </si>
  <si>
    <t>嫩薑</t>
    <phoneticPr fontId="16" type="noConversion"/>
  </si>
  <si>
    <t>海苔</t>
    <phoneticPr fontId="16" type="noConversion"/>
  </si>
  <si>
    <t>堅果</t>
    <phoneticPr fontId="16" type="noConversion"/>
  </si>
  <si>
    <t>豬前腿肉</t>
  </si>
  <si>
    <t>高麗菜</t>
    <phoneticPr fontId="16" type="noConversion"/>
  </si>
  <si>
    <t>公斤</t>
  </si>
  <si>
    <t>白米</t>
  </si>
  <si>
    <t>五穀飯</t>
  </si>
  <si>
    <t>五穀米(提前一天送)</t>
  </si>
  <si>
    <t>洋蔥</t>
    <phoneticPr fontId="16" type="noConversion"/>
  </si>
  <si>
    <t>中排</t>
    <phoneticPr fontId="16" type="noConversion"/>
  </si>
  <si>
    <t>胡蘿蔔絲</t>
  </si>
  <si>
    <t>素-生香菇</t>
    <phoneticPr fontId="16" type="noConversion"/>
  </si>
  <si>
    <t>大蒜</t>
    <phoneticPr fontId="18" type="noConversion"/>
  </si>
  <si>
    <t>粗</t>
    <phoneticPr fontId="18" type="noConversion"/>
  </si>
  <si>
    <t>嫩薑</t>
    <phoneticPr fontId="18" type="noConversion"/>
  </si>
  <si>
    <t>絲</t>
    <phoneticPr fontId="18" type="noConversion"/>
  </si>
  <si>
    <t>安樂高中</t>
  </si>
  <si>
    <t>長樂國小</t>
  </si>
  <si>
    <t>安樂國小</t>
  </si>
  <si>
    <t>港西國小</t>
  </si>
  <si>
    <t>白蘿蔔</t>
    <phoneticPr fontId="16" type="noConversion"/>
  </si>
  <si>
    <t>豬絞肉</t>
    <phoneticPr fontId="16" type="noConversion"/>
  </si>
  <si>
    <t>雞蛋</t>
    <phoneticPr fontId="16" type="noConversion"/>
  </si>
  <si>
    <t>支</t>
    <phoneticPr fontId="16" type="noConversion"/>
  </si>
  <si>
    <t>杏鮑菇</t>
    <phoneticPr fontId="16" type="noConversion"/>
  </si>
  <si>
    <t>大包</t>
    <phoneticPr fontId="16" type="noConversion"/>
  </si>
  <si>
    <t>番茄</t>
    <phoneticPr fontId="16" type="noConversion"/>
  </si>
  <si>
    <t>板豆腐</t>
    <phoneticPr fontId="16" type="noConversion"/>
  </si>
  <si>
    <t>味噌</t>
    <phoneticPr fontId="16" type="noConversion"/>
  </si>
  <si>
    <t>柴魚片</t>
    <phoneticPr fontId="16" type="noConversion"/>
  </si>
  <si>
    <t>油豆腐</t>
    <phoneticPr fontId="16" type="noConversion"/>
  </si>
  <si>
    <t>木耳</t>
    <phoneticPr fontId="16" type="noConversion"/>
  </si>
  <si>
    <t>二砂糖</t>
    <phoneticPr fontId="16" type="noConversion"/>
  </si>
  <si>
    <t>大骨</t>
    <phoneticPr fontId="16" type="noConversion"/>
  </si>
  <si>
    <t>冷凍胡蘿蔔</t>
    <phoneticPr fontId="16" type="noConversion"/>
  </si>
  <si>
    <t>個</t>
    <phoneticPr fontId="16" type="noConversion"/>
  </si>
  <si>
    <t>金針菇</t>
    <phoneticPr fontId="16" type="noConversion"/>
  </si>
  <si>
    <t>貢丸</t>
    <phoneticPr fontId="16" type="noConversion"/>
  </si>
  <si>
    <t>冬瓜</t>
    <phoneticPr fontId="16" type="noConversion"/>
  </si>
  <si>
    <t>綠豆芽</t>
    <phoneticPr fontId="16" type="noConversion"/>
  </si>
  <si>
    <t>素-素米血</t>
    <phoneticPr fontId="16" type="noConversion"/>
  </si>
  <si>
    <t>素-胡蘿蔔</t>
    <phoneticPr fontId="16" type="noConversion"/>
  </si>
  <si>
    <t>生香菇</t>
    <phoneticPr fontId="16" type="noConversion"/>
  </si>
  <si>
    <t>素-小干丁</t>
    <phoneticPr fontId="16" type="noConversion"/>
  </si>
  <si>
    <t>黃豆干</t>
    <phoneticPr fontId="16" type="noConversion"/>
  </si>
  <si>
    <t>九層塔</t>
    <phoneticPr fontId="16" type="noConversion"/>
  </si>
  <si>
    <t>素-素雞翅</t>
    <phoneticPr fontId="16" type="noConversion"/>
  </si>
  <si>
    <t>黃油麵</t>
    <phoneticPr fontId="16" type="noConversion"/>
  </si>
  <si>
    <t>果汁</t>
    <phoneticPr fontId="16" type="noConversion"/>
  </si>
  <si>
    <t>前一天送</t>
    <phoneticPr fontId="16" type="noConversion"/>
  </si>
  <si>
    <t>白飯</t>
    <phoneticPr fontId="16" type="noConversion"/>
  </si>
  <si>
    <t>白米</t>
    <phoneticPr fontId="16" type="noConversion"/>
  </si>
  <si>
    <t xml:space="preserve"> </t>
  </si>
  <si>
    <t>紫米飯</t>
    <phoneticPr fontId="16" type="noConversion"/>
  </si>
  <si>
    <t>黑秈糯米</t>
    <phoneticPr fontId="16" type="noConversion"/>
  </si>
  <si>
    <t>帶骨里肌</t>
    <phoneticPr fontId="16" type="noConversion"/>
  </si>
  <si>
    <t>絲瓜</t>
    <phoneticPr fontId="16" type="noConversion"/>
  </si>
  <si>
    <t>小薏仁</t>
    <phoneticPr fontId="16" type="noConversion"/>
  </si>
  <si>
    <t>素-素肉羹</t>
    <phoneticPr fontId="16" type="noConversion"/>
  </si>
  <si>
    <t>履歷</t>
    <phoneticPr fontId="16" type="noConversion"/>
  </si>
  <si>
    <t>筍干</t>
    <phoneticPr fontId="16" type="noConversion"/>
  </si>
  <si>
    <t>乾金針</t>
    <phoneticPr fontId="16" type="noConversion"/>
  </si>
  <si>
    <t>烏醋</t>
    <phoneticPr fontId="16" type="noConversion"/>
  </si>
  <si>
    <t>素-板豆腐</t>
    <phoneticPr fontId="16" type="noConversion"/>
  </si>
  <si>
    <t>酸辣湯</t>
    <phoneticPr fontId="16" type="noConversion"/>
  </si>
  <si>
    <t>番茄醬</t>
    <phoneticPr fontId="16" type="noConversion"/>
  </si>
  <si>
    <t>雞翅</t>
    <phoneticPr fontId="16" type="noConversion"/>
  </si>
  <si>
    <t>素-麵腸</t>
    <phoneticPr fontId="16" type="noConversion"/>
  </si>
  <si>
    <t>冷凍洋芋</t>
    <phoneticPr fontId="16" type="noConversion"/>
  </si>
  <si>
    <t>大白菜</t>
    <phoneticPr fontId="16" type="noConversion"/>
  </si>
  <si>
    <t>肉羹</t>
    <phoneticPr fontId="16" type="noConversion"/>
  </si>
  <si>
    <t>素-玉米粒罐頭</t>
    <phoneticPr fontId="16" type="noConversion"/>
  </si>
  <si>
    <t>素-金針菇</t>
    <phoneticPr fontId="16" type="noConversion"/>
  </si>
  <si>
    <t>味噌湯</t>
  </si>
  <si>
    <t>麥片飯</t>
    <phoneticPr fontId="16" type="noConversion"/>
  </si>
  <si>
    <t>燕麥片</t>
    <phoneticPr fontId="16" type="noConversion"/>
  </si>
  <si>
    <t>地瓜飯</t>
    <phoneticPr fontId="16" type="noConversion"/>
  </si>
  <si>
    <t>冷凍地瓜</t>
    <phoneticPr fontId="16" type="noConversion"/>
  </si>
  <si>
    <t>凍豆腐</t>
    <phoneticPr fontId="16" type="noConversion"/>
  </si>
  <si>
    <t>果汁(和5/6不同)</t>
    <phoneticPr fontId="16" type="noConversion"/>
  </si>
  <si>
    <t>塔香番茄魚丁</t>
    <phoneticPr fontId="16" type="noConversion"/>
  </si>
  <si>
    <t>滷雞翅</t>
    <phoneticPr fontId="16" type="noConversion"/>
  </si>
  <si>
    <t>素-敏豆</t>
    <phoneticPr fontId="16" type="noConversion"/>
  </si>
  <si>
    <t>桶</t>
  </si>
  <si>
    <t>前一天送</t>
  </si>
  <si>
    <t>關東煮</t>
    <phoneticPr fontId="16" type="noConversion"/>
  </si>
  <si>
    <t>雜菜粉絲</t>
    <phoneticPr fontId="16" type="noConversion"/>
  </si>
  <si>
    <t>冬粉</t>
    <phoneticPr fontId="16" type="noConversion"/>
  </si>
  <si>
    <t>番茄炒蛋</t>
  </si>
  <si>
    <t>青江菜</t>
    <phoneticPr fontId="16" type="noConversion"/>
  </si>
  <si>
    <t>蒟蒻捲</t>
    <phoneticPr fontId="16" type="noConversion"/>
  </si>
  <si>
    <t>乾香菇</t>
    <phoneticPr fontId="16" type="noConversion"/>
  </si>
  <si>
    <t>素-素黑輪</t>
    <phoneticPr fontId="16" type="noConversion"/>
  </si>
  <si>
    <t>海山醬</t>
    <phoneticPr fontId="16" type="noConversion"/>
  </si>
  <si>
    <t>肉骨茶湯</t>
  </si>
  <si>
    <t>綠豆薏仁湯</t>
    <phoneticPr fontId="16" type="noConversion"/>
  </si>
  <si>
    <t>肉骨茶包</t>
    <phoneticPr fontId="16" type="noConversion"/>
  </si>
  <si>
    <t>芹菜</t>
    <phoneticPr fontId="16" type="noConversion"/>
  </si>
  <si>
    <t>綠豆</t>
    <phoneticPr fontId="16" type="noConversion"/>
  </si>
  <si>
    <t>枸杞</t>
    <phoneticPr fontId="16" type="noConversion"/>
  </si>
  <si>
    <t>端午節</t>
    <phoneticPr fontId="16" type="noConversion"/>
  </si>
  <si>
    <t>香菇肉燥</t>
    <phoneticPr fontId="16" type="noConversion"/>
  </si>
  <si>
    <t>茄汁義大利麵</t>
    <phoneticPr fontId="16" type="noConversion"/>
  </si>
  <si>
    <t>蔥油雞</t>
    <phoneticPr fontId="16" type="noConversion"/>
  </si>
  <si>
    <t>碎花瓜</t>
    <phoneticPr fontId="16" type="noConversion"/>
  </si>
  <si>
    <t>素-素肉排</t>
    <phoneticPr fontId="16" type="noConversion"/>
  </si>
  <si>
    <t>冷凍三色豆</t>
    <phoneticPr fontId="16" type="noConversion"/>
  </si>
  <si>
    <t>番茄糊</t>
    <phoneticPr fontId="16" type="noConversion"/>
  </si>
  <si>
    <t>義大利香料</t>
    <phoneticPr fontId="16" type="noConversion"/>
  </si>
  <si>
    <t>盒</t>
    <phoneticPr fontId="16" type="noConversion"/>
  </si>
  <si>
    <t>鴻喜菇</t>
    <phoneticPr fontId="16" type="noConversion"/>
  </si>
  <si>
    <t>素-荷蘭豆</t>
    <phoneticPr fontId="16" type="noConversion"/>
  </si>
  <si>
    <t>雙色蘿蔔湯</t>
    <phoneticPr fontId="16" type="noConversion"/>
  </si>
  <si>
    <t>玉米濃湯</t>
    <phoneticPr fontId="16" type="noConversion"/>
  </si>
  <si>
    <t>香菇竹筍湯</t>
    <phoneticPr fontId="16" type="noConversion"/>
  </si>
  <si>
    <t>鮮菇冬瓜湯</t>
    <phoneticPr fontId="16" type="noConversion"/>
  </si>
  <si>
    <t>油腐滷肉</t>
    <phoneticPr fontId="16" type="noConversion"/>
  </si>
  <si>
    <t>茄汁雞丁</t>
    <phoneticPr fontId="16" type="noConversion"/>
  </si>
  <si>
    <t>腐乳雞</t>
    <phoneticPr fontId="16" type="noConversion"/>
  </si>
  <si>
    <t>秀珍菇</t>
    <phoneticPr fontId="16" type="noConversion"/>
  </si>
  <si>
    <t>豆腐乳</t>
    <phoneticPr fontId="16" type="noConversion"/>
  </si>
  <si>
    <t>3.6k</t>
    <phoneticPr fontId="16" type="noConversion"/>
  </si>
  <si>
    <t>起司焗蔬</t>
    <phoneticPr fontId="16" type="noConversion"/>
  </si>
  <si>
    <t>西洋芹</t>
    <phoneticPr fontId="16" type="noConversion"/>
  </si>
  <si>
    <t>木耳高麗</t>
    <phoneticPr fontId="16" type="noConversion"/>
  </si>
  <si>
    <t>紅蘿蔔</t>
    <phoneticPr fontId="16" type="noConversion"/>
  </si>
  <si>
    <t>乳酪絲</t>
    <phoneticPr fontId="16" type="noConversion"/>
  </si>
  <si>
    <t>玉米豆腐湯</t>
  </si>
  <si>
    <t>金針貢丸湯</t>
    <phoneticPr fontId="16" type="noConversion"/>
  </si>
  <si>
    <t>油蔥酥</t>
    <phoneticPr fontId="16" type="noConversion"/>
  </si>
  <si>
    <t>素-素肉絲</t>
    <phoneticPr fontId="16" type="noConversion"/>
  </si>
  <si>
    <t>乾香菇絲</t>
    <phoneticPr fontId="16" type="noConversion"/>
  </si>
  <si>
    <t>素-鴻喜菇</t>
    <phoneticPr fontId="16" type="noConversion"/>
  </si>
  <si>
    <t>紫蘇梅雞</t>
  </si>
  <si>
    <t>芋香燉肉</t>
    <phoneticPr fontId="16" type="noConversion"/>
  </si>
  <si>
    <t>蔥爆肉片</t>
    <phoneticPr fontId="16" type="noConversion"/>
  </si>
  <si>
    <t>紫蘇梅</t>
    <phoneticPr fontId="16" type="noConversion"/>
  </si>
  <si>
    <t>筍籤</t>
    <phoneticPr fontId="16" type="noConversion"/>
  </si>
  <si>
    <t>青椒</t>
    <phoneticPr fontId="16" type="noConversion"/>
  </si>
  <si>
    <t>素-素雞丁</t>
    <phoneticPr fontId="16" type="noConversion"/>
  </si>
  <si>
    <t>蒜酥</t>
    <phoneticPr fontId="16" type="noConversion"/>
  </si>
  <si>
    <t>洋芋玉米蛋</t>
    <phoneticPr fontId="16" type="noConversion"/>
  </si>
  <si>
    <t>芝麻包</t>
    <phoneticPr fontId="16" type="noConversion"/>
  </si>
  <si>
    <t>家常豆腐</t>
    <phoneticPr fontId="16" type="noConversion"/>
  </si>
  <si>
    <t>小罐</t>
    <phoneticPr fontId="16" type="noConversion"/>
  </si>
  <si>
    <t>四神湯</t>
  </si>
  <si>
    <t>四神包</t>
    <phoneticPr fontId="16" type="noConversion"/>
  </si>
  <si>
    <t>決明大麥珍珠</t>
    <phoneticPr fontId="16" type="noConversion"/>
  </si>
  <si>
    <t>決明子</t>
    <phoneticPr fontId="16" type="noConversion"/>
  </si>
  <si>
    <t>小薏仁</t>
  </si>
  <si>
    <t>麥茶包</t>
    <phoneticPr fontId="16" type="noConversion"/>
  </si>
  <si>
    <t>珍珠</t>
    <phoneticPr fontId="16" type="noConversion"/>
  </si>
  <si>
    <t>113 年 6 月 份 午 餐 食 譜 （葷）</t>
    <phoneticPr fontId="24" type="noConversion"/>
  </si>
  <si>
    <t>水鯊魚</t>
    <phoneticPr fontId="16" type="noConversion"/>
  </si>
  <si>
    <t>海結麵輪</t>
    <phoneticPr fontId="16" type="noConversion"/>
  </si>
  <si>
    <t>鐵板銀芽</t>
    <phoneticPr fontId="16" type="noConversion"/>
  </si>
  <si>
    <t>芋香大白</t>
    <phoneticPr fontId="16" type="noConversion"/>
  </si>
  <si>
    <t>塔香海根</t>
    <phoneticPr fontId="16" type="noConversion"/>
  </si>
  <si>
    <t>洋蔥炒蛋</t>
    <phoneticPr fontId="16" type="noConversion"/>
  </si>
  <si>
    <t>螞蟻上樹</t>
    <phoneticPr fontId="16" type="noConversion"/>
  </si>
  <si>
    <t>玉米絞肉</t>
    <phoneticPr fontId="16" type="noConversion"/>
  </si>
  <si>
    <t>滷味拼盤</t>
    <phoneticPr fontId="16" type="noConversion"/>
  </si>
  <si>
    <t>蝦米</t>
    <phoneticPr fontId="16" type="noConversion"/>
  </si>
  <si>
    <t>冷凍青花菜</t>
    <phoneticPr fontId="16" type="noConversion"/>
  </si>
  <si>
    <t>香滷翅小腿</t>
    <phoneticPr fontId="16" type="noConversion"/>
  </si>
  <si>
    <t>翅小腿</t>
    <phoneticPr fontId="16" type="noConversion"/>
  </si>
  <si>
    <t>素-素龍鳳腿</t>
    <phoneticPr fontId="16" type="noConversion"/>
  </si>
  <si>
    <t>海帶結</t>
    <phoneticPr fontId="16" type="noConversion"/>
  </si>
  <si>
    <t>乾麵輪</t>
    <phoneticPr fontId="16" type="noConversion"/>
  </si>
  <si>
    <t>片</t>
  </si>
  <si>
    <t>冷凍芋頭丁</t>
    <phoneticPr fontId="16" type="noConversion"/>
  </si>
  <si>
    <t>冷凍四季豆</t>
    <phoneticPr fontId="16" type="noConversion"/>
  </si>
  <si>
    <t>黃豆干</t>
  </si>
  <si>
    <t>芹菜</t>
  </si>
  <si>
    <t>魷魚短絲</t>
  </si>
  <si>
    <t>海帶根</t>
    <phoneticPr fontId="16" type="noConversion"/>
  </si>
  <si>
    <t>豆瓣醬</t>
    <phoneticPr fontId="16" type="noConversion"/>
  </si>
  <si>
    <t>大黑豆干</t>
    <phoneticPr fontId="16" type="noConversion"/>
  </si>
  <si>
    <t>12切</t>
    <phoneticPr fontId="16" type="noConversion"/>
  </si>
  <si>
    <t>豆薯</t>
    <phoneticPr fontId="16" type="noConversion"/>
  </si>
  <si>
    <t>金菇蛋花湯</t>
    <phoneticPr fontId="16" type="noConversion"/>
  </si>
  <si>
    <t>螺旋麵</t>
    <phoneticPr fontId="16" type="noConversion"/>
  </si>
  <si>
    <t>冷凍芋頭塊</t>
    <phoneticPr fontId="16" type="noConversion"/>
  </si>
  <si>
    <t>骨腿</t>
  </si>
  <si>
    <t>丁</t>
  </si>
  <si>
    <t>雞清胸肉</t>
  </si>
  <si>
    <t>冷凍洋芋丁</t>
    <phoneticPr fontId="16" type="noConversion"/>
  </si>
  <si>
    <t>全脂奶粉</t>
    <phoneticPr fontId="16" type="noConversion"/>
  </si>
  <si>
    <t>奶皇包</t>
    <phoneticPr fontId="16" type="noConversion"/>
  </si>
  <si>
    <t>客家小炒</t>
  </si>
  <si>
    <t>肉羹飯</t>
    <phoneticPr fontId="16" type="noConversion"/>
  </si>
  <si>
    <t>風味四季豆</t>
    <phoneticPr fontId="16" type="noConversion"/>
  </si>
  <si>
    <t>奶香雙薯</t>
    <phoneticPr fontId="16" type="noConversion"/>
  </si>
  <si>
    <t>獅子頭</t>
    <phoneticPr fontId="16" type="noConversion"/>
  </si>
  <si>
    <t>蘿蔔玉米湯</t>
    <phoneticPr fontId="16" type="noConversion"/>
  </si>
  <si>
    <t>冷凍玉米</t>
    <phoneticPr fontId="16" type="noConversion"/>
  </si>
  <si>
    <t>塊</t>
    <phoneticPr fontId="16" type="noConversion"/>
  </si>
  <si>
    <t>京醬肉絲</t>
    <phoneticPr fontId="16" type="noConversion"/>
  </si>
  <si>
    <t>甜麵醬</t>
    <phoneticPr fontId="16" type="noConversion"/>
  </si>
  <si>
    <t>素-生豆包</t>
    <phoneticPr fontId="16" type="noConversion"/>
  </si>
  <si>
    <t>紅藜飯</t>
    <phoneticPr fontId="16" type="noConversion"/>
  </si>
  <si>
    <t>紅藜麥</t>
    <phoneticPr fontId="16" type="noConversion"/>
  </si>
  <si>
    <t>筍香悶肉</t>
    <phoneticPr fontId="16" type="noConversion"/>
  </si>
  <si>
    <t>素-素雞</t>
    <phoneticPr fontId="16" type="noConversion"/>
  </si>
  <si>
    <t>蒜仁</t>
    <phoneticPr fontId="16" type="noConversion"/>
  </si>
  <si>
    <t>蔥</t>
    <phoneticPr fontId="16" type="noConversion"/>
  </si>
  <si>
    <t>開陽冬瓜</t>
    <phoneticPr fontId="16" type="noConversion"/>
  </si>
  <si>
    <t>薑絲</t>
    <phoneticPr fontId="16" type="noConversion"/>
  </si>
  <si>
    <t>國小</t>
    <phoneticPr fontId="16" type="noConversion"/>
  </si>
  <si>
    <t>誤差3%</t>
    <phoneticPr fontId="16" type="noConversion"/>
  </si>
  <si>
    <t>第二週</t>
    <phoneticPr fontId="16" type="noConversion"/>
  </si>
  <si>
    <t>第三週</t>
    <phoneticPr fontId="16" type="noConversion"/>
  </si>
  <si>
    <t>第四週</t>
    <phoneticPr fontId="16" type="noConversion"/>
  </si>
  <si>
    <t>第五週</t>
    <phoneticPr fontId="16" type="noConversion"/>
  </si>
  <si>
    <t>EX</t>
    <phoneticPr fontId="16" type="noConversion"/>
  </si>
  <si>
    <t>奶類</t>
    <phoneticPr fontId="16" type="noConversion"/>
  </si>
  <si>
    <t>水果類</t>
    <phoneticPr fontId="16" type="noConversion"/>
  </si>
  <si>
    <t>蔬菜類</t>
    <phoneticPr fontId="16" type="noConversion"/>
  </si>
  <si>
    <t>全穀根莖類</t>
    <phoneticPr fontId="16" type="noConversion"/>
  </si>
  <si>
    <t>豆魚蛋肉類 L</t>
    <phoneticPr fontId="16" type="noConversion"/>
  </si>
  <si>
    <t>豆魚蛋肉類 M</t>
    <phoneticPr fontId="16" type="noConversion"/>
  </si>
  <si>
    <t>豆魚蛋肉類 H</t>
    <phoneticPr fontId="16" type="noConversion"/>
  </si>
  <si>
    <t>油脂與堅果種子</t>
    <phoneticPr fontId="16" type="noConversion"/>
  </si>
  <si>
    <t>CHO</t>
    <phoneticPr fontId="16" type="noConversion"/>
  </si>
  <si>
    <t>g</t>
    <phoneticPr fontId="16" type="noConversion"/>
  </si>
  <si>
    <t>Prot.</t>
    <phoneticPr fontId="16" type="noConversion"/>
  </si>
  <si>
    <t>Fat</t>
    <phoneticPr fontId="16" type="noConversion"/>
  </si>
  <si>
    <t>熱量</t>
    <phoneticPr fontId="16" type="noConversion"/>
  </si>
  <si>
    <t>kcal</t>
    <phoneticPr fontId="16" type="noConversion"/>
  </si>
  <si>
    <t>%</t>
  </si>
  <si>
    <t>鮮奶饅頭</t>
    <phoneticPr fontId="16" type="noConversion"/>
  </si>
  <si>
    <t>草莓麵包</t>
    <phoneticPr fontId="16" type="noConversion"/>
  </si>
  <si>
    <t>國中</t>
    <phoneticPr fontId="16" type="noConversion"/>
  </si>
  <si>
    <t>培根</t>
    <phoneticPr fontId="16" type="noConversion"/>
  </si>
  <si>
    <t>培根高麗菜</t>
    <phoneticPr fontId="16" type="noConversion"/>
  </si>
  <si>
    <t>第一週</t>
    <phoneticPr fontId="16" type="noConversion"/>
  </si>
  <si>
    <t>滷白菜</t>
    <phoneticPr fontId="16" type="noConversion"/>
  </si>
  <si>
    <t>綜合滷味</t>
    <phoneticPr fontId="16" type="noConversion"/>
  </si>
  <si>
    <t>小三角油豆腐</t>
    <phoneticPr fontId="16" type="noConversion"/>
  </si>
  <si>
    <t>素-素丸</t>
    <phoneticPr fontId="16" type="noConversion"/>
  </si>
  <si>
    <t>三色滑蛋</t>
    <phoneticPr fontId="16" type="noConversion"/>
  </si>
  <si>
    <t>鹹湯圓</t>
    <phoneticPr fontId="16" type="noConversion"/>
  </si>
  <si>
    <t>小湯圓</t>
    <phoneticPr fontId="16" type="noConversion"/>
  </si>
  <si>
    <t>絲</t>
    <phoneticPr fontId="16" type="noConversion"/>
  </si>
  <si>
    <t>魚板</t>
    <phoneticPr fontId="16" type="noConversion"/>
  </si>
  <si>
    <t>杏鮑菇洋芋</t>
    <phoneticPr fontId="16" type="noConversion"/>
  </si>
  <si>
    <t>玉米筍</t>
    <phoneticPr fontId="16" type="noConversion"/>
  </si>
  <si>
    <t>金針菇</t>
    <phoneticPr fontId="16" type="noConversion"/>
  </si>
  <si>
    <t>鴻喜菇</t>
    <phoneticPr fontId="16" type="noConversion"/>
  </si>
  <si>
    <t>雙菇玉米筍</t>
    <phoneticPr fontId="16" type="noConversion"/>
  </si>
  <si>
    <t>洋芋燴毛豆</t>
    <phoneticPr fontId="16" type="noConversion"/>
  </si>
  <si>
    <t>洋蔥</t>
  </si>
  <si>
    <t>冷凍毛豆仁</t>
    <phoneticPr fontId="16" type="noConversion"/>
  </si>
  <si>
    <t>洋芋</t>
    <phoneticPr fontId="16" type="noConversion"/>
  </si>
  <si>
    <t>味噌蛋花湯</t>
    <phoneticPr fontId="16" type="noConversion"/>
  </si>
  <si>
    <t>海帶芽</t>
    <phoneticPr fontId="16" type="noConversion"/>
  </si>
  <si>
    <t>海帶蛋花湯</t>
    <phoneticPr fontId="16" type="noConversion"/>
  </si>
  <si>
    <t>蒙古炒肉</t>
    <phoneticPr fontId="16" type="noConversion"/>
  </si>
  <si>
    <t>素-紅椒</t>
    <phoneticPr fontId="16" type="noConversion"/>
  </si>
  <si>
    <t>滷豬腳</t>
    <phoneticPr fontId="16" type="noConversion"/>
  </si>
  <si>
    <t>豬腳</t>
    <phoneticPr fontId="16" type="noConversion"/>
  </si>
  <si>
    <t>滷包</t>
    <phoneticPr fontId="16" type="noConversion"/>
  </si>
  <si>
    <t>素-蘭花干</t>
    <phoneticPr fontId="16" type="noConversion"/>
  </si>
  <si>
    <t>八角</t>
    <phoneticPr fontId="16" type="noConversion"/>
  </si>
  <si>
    <t>百頁豆腐</t>
    <phoneticPr fontId="16" type="noConversion"/>
  </si>
  <si>
    <t>照燒醬</t>
  </si>
  <si>
    <t>照燒百頁</t>
    <phoneticPr fontId="16" type="noConversion"/>
  </si>
  <si>
    <t>地瓜</t>
    <phoneticPr fontId="16" type="noConversion"/>
  </si>
  <si>
    <t>紅土花生</t>
    <phoneticPr fontId="16" type="noConversion"/>
  </si>
  <si>
    <t>麵筋泡</t>
    <phoneticPr fontId="16" type="noConversion"/>
  </si>
  <si>
    <t>土豆麵筋</t>
    <phoneticPr fontId="16" type="noConversion"/>
  </si>
  <si>
    <t>枸杞絲瓜</t>
    <phoneticPr fontId="16" type="noConversion"/>
  </si>
  <si>
    <t>罐</t>
    <phoneticPr fontId="16" type="noConversion"/>
  </si>
  <si>
    <t>素-素火腿丁</t>
    <phoneticPr fontId="16" type="noConversion"/>
  </si>
  <si>
    <t>滷排骨</t>
    <phoneticPr fontId="16" type="noConversion"/>
  </si>
  <si>
    <t>脆圓</t>
    <phoneticPr fontId="16" type="noConversion"/>
  </si>
  <si>
    <t>椰奶</t>
    <phoneticPr fontId="16" type="noConversion"/>
  </si>
  <si>
    <t>Q圓芋頭湯</t>
    <phoneticPr fontId="16" type="noConversion"/>
  </si>
  <si>
    <t>蘿蔔貢丸湯</t>
    <phoneticPr fontId="16" type="noConversion"/>
  </si>
  <si>
    <r>
      <rPr>
        <b/>
        <sz val="14"/>
        <color rgb="FFFF0000"/>
        <rFont val="微軟正黑體"/>
        <family val="2"/>
        <charset val="136"/>
      </rPr>
      <t>豬肉</t>
    </r>
    <r>
      <rPr>
        <b/>
        <sz val="14"/>
        <rFont val="微軟正黑體"/>
        <family val="2"/>
        <charset val="136"/>
      </rPr>
      <t>秀菇燴麵</t>
    </r>
    <phoneticPr fontId="16" type="noConversion"/>
  </si>
  <si>
    <t>素-青椒</t>
    <phoneticPr fontId="16" type="noConversion"/>
  </si>
  <si>
    <t>玉米肉絲炒麵</t>
    <phoneticPr fontId="16" type="noConversion"/>
  </si>
  <si>
    <t>角螺白菜</t>
    <phoneticPr fontId="16" type="noConversion"/>
  </si>
  <si>
    <t>彩椒花椰</t>
    <phoneticPr fontId="16" type="noConversion"/>
  </si>
  <si>
    <t>紅甜椒</t>
    <phoneticPr fontId="16" type="noConversion"/>
  </si>
  <si>
    <t>黃甜椒</t>
    <phoneticPr fontId="16" type="noConversion"/>
  </si>
  <si>
    <t>大黃瓜</t>
    <phoneticPr fontId="16" type="noConversion"/>
  </si>
  <si>
    <t>燴大瓜</t>
    <phoneticPr fontId="16" type="noConversion"/>
  </si>
  <si>
    <t>長樂(-74)、安小(-68)畢業生最後用餐日</t>
    <phoneticPr fontId="16" type="noConversion"/>
  </si>
  <si>
    <t>港西畢業生最後用餐日(-13)</t>
    <phoneticPr fontId="16" type="noConversion"/>
  </si>
  <si>
    <t>鮮肉包</t>
    <phoneticPr fontId="16" type="noConversion"/>
  </si>
  <si>
    <t>素-素包</t>
    <phoneticPr fontId="16" type="noConversion"/>
  </si>
  <si>
    <t>冷凍玉米塊</t>
    <phoneticPr fontId="16" type="noConversion"/>
  </si>
  <si>
    <t>角螺</t>
    <phoneticPr fontId="16" type="noConversion"/>
  </si>
  <si>
    <t>素雞</t>
    <phoneticPr fontId="16" type="noConversion"/>
  </si>
  <si>
    <t>芹香素雞</t>
    <phoneticPr fontId="16" type="noConversion"/>
  </si>
  <si>
    <t>脆筍片</t>
    <phoneticPr fontId="16" type="noConversion"/>
  </si>
  <si>
    <t>港西6/11(二) 五六年級校外教學 學生減25葷1素.老師減2葷</t>
    <phoneticPr fontId="16" type="noConversion"/>
  </si>
  <si>
    <t>港西6/25(二) 一~五忠校外教學</t>
    <phoneticPr fontId="16" type="noConversion"/>
  </si>
  <si>
    <t>安小6/3~6/4：601班校外教學停餐兩天。(-24)
港西學生共減7位：三忠(1)、四忠(4)、五忠(2)</t>
    <phoneticPr fontId="16" type="noConversion"/>
  </si>
  <si>
    <t>安小6/3~6/4：601班校外教學停餐兩天。(-24)
港西6/4(二)學生共減12位：二忠（減1）、三忠(減1)、四忠(減4)、五忠(減6)</t>
    <phoneticPr fontId="16" type="noConversion"/>
  </si>
  <si>
    <t>長樂6/6 獨角仙 全班整天不用餐(-22)
安小602停餐(-24)</t>
    <phoneticPr fontId="16" type="noConversion"/>
  </si>
  <si>
    <t>安小6/7（星期五）校慶補假，全校停餐。</t>
    <phoneticPr fontId="16" type="noConversion"/>
  </si>
  <si>
    <t>安中6/14(五)505停餐(-20)</t>
    <phoneticPr fontId="16" type="noConversion"/>
  </si>
  <si>
    <t>麥克雞塊</t>
    <phoneticPr fontId="16" type="noConversion"/>
  </si>
  <si>
    <t>雞塊</t>
    <phoneticPr fontId="16" type="noConversion"/>
  </si>
  <si>
    <t>庫存</t>
    <phoneticPr fontId="16" type="noConversion"/>
  </si>
  <si>
    <t>素-彩椒</t>
    <phoneticPr fontId="16" type="noConversion"/>
  </si>
  <si>
    <t>果汁</t>
    <phoneticPr fontId="16" type="noConversion"/>
  </si>
  <si>
    <t>果汁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</si>
</sst>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DBNum1][$-404]General"/>
    <numFmt numFmtId="177" formatCode="m&quot;月&quot;d&quot;日&quot;"/>
    <numFmt numFmtId="178" formatCode="0.00_);[Red]\(0.00\)"/>
    <numFmt numFmtId="179" formatCode="0_);[Red]\(0\)"/>
    <numFmt numFmtId="180" formatCode="0.00_ "/>
    <numFmt numFmtId="181" formatCode="0.0_);[Red]\(0.0\)"/>
    <numFmt numFmtId="182" formatCode="m/d;@"/>
  </numFmts>
  <fonts count="73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新細明體"/>
      <family val="1"/>
    </font>
    <font>
      <sz val="11"/>
      <color theme="1"/>
      <name val="新細明體"/>
      <family val="2"/>
      <scheme val="minor"/>
    </font>
    <font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Book Antiqua"/>
      <family val="1"/>
    </font>
    <font>
      <sz val="14"/>
      <color theme="1"/>
      <name val="Book Antiqua"/>
      <family val="1"/>
    </font>
    <font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1"/>
      <name val="微軟正黑體"/>
      <family val="2"/>
      <charset val="136"/>
    </font>
    <font>
      <sz val="18"/>
      <color indexed="8"/>
      <name val="標楷體"/>
      <family val="4"/>
    </font>
    <font>
      <sz val="12"/>
      <color indexed="8"/>
      <name val="標楷體"/>
      <family val="4"/>
    </font>
    <font>
      <sz val="10"/>
      <color indexed="8"/>
      <name val="標楷體"/>
      <family val="4"/>
    </font>
    <font>
      <sz val="22"/>
      <color theme="1"/>
      <name val="標楷體"/>
      <family val="4"/>
    </font>
    <font>
      <sz val="12"/>
      <name val="標楷體"/>
      <family val="4"/>
    </font>
    <font>
      <sz val="20"/>
      <color theme="1"/>
      <name val="標楷體"/>
      <family val="4"/>
    </font>
    <font>
      <sz val="18"/>
      <color theme="1"/>
      <name val="標楷體"/>
      <family val="4"/>
    </font>
    <font>
      <sz val="16"/>
      <color theme="1"/>
      <name val="標楷體"/>
      <family val="4"/>
    </font>
    <font>
      <sz val="12"/>
      <color theme="1"/>
      <name val="標楷體"/>
      <family val="4"/>
    </font>
    <font>
      <sz val="20"/>
      <color theme="1"/>
      <name val="標楷體"/>
      <family val="4"/>
      <charset val="136"/>
    </font>
    <font>
      <sz val="12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20"/>
      <color indexed="8"/>
      <name val="標楷體"/>
      <family val="4"/>
    </font>
    <font>
      <sz val="48"/>
      <color theme="1"/>
      <name val="標楷體"/>
      <family val="4"/>
    </font>
    <font>
      <sz val="48"/>
      <color theme="1"/>
      <name val="標楷體"/>
      <family val="4"/>
      <charset val="136"/>
    </font>
    <font>
      <sz val="28"/>
      <color theme="1"/>
      <name val="標楷體"/>
      <family val="4"/>
    </font>
    <font>
      <sz val="2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36"/>
      <color theme="1"/>
      <name val="標楷體"/>
      <family val="4"/>
    </font>
    <font>
      <sz val="36"/>
      <color theme="1"/>
      <name val="標楷體"/>
      <family val="4"/>
      <charset val="136"/>
    </font>
    <font>
      <sz val="36"/>
      <color theme="1"/>
      <name val="新細明體"/>
      <family val="2"/>
      <scheme val="minor"/>
    </font>
    <font>
      <sz val="20"/>
      <color theme="1"/>
      <name val="新細明體"/>
      <family val="1"/>
      <charset val="136"/>
      <scheme val="major"/>
    </font>
    <font>
      <sz val="20"/>
      <color theme="1"/>
      <name val="細明體"/>
      <family val="3"/>
      <charset val="136"/>
    </font>
    <font>
      <b/>
      <sz val="14"/>
      <color theme="1"/>
      <name val="Book Antiqua"/>
      <family val="1"/>
    </font>
    <font>
      <b/>
      <sz val="12"/>
      <color theme="1"/>
      <name val="微軟正黑體"/>
      <family val="2"/>
      <charset val="136"/>
    </font>
    <font>
      <sz val="10"/>
      <color theme="8" tint="-0.499984740745262"/>
      <name val="微軟正黑體"/>
      <family val="2"/>
      <charset val="136"/>
    </font>
    <font>
      <sz val="10"/>
      <color theme="5" tint="-0.249977111117893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4"/>
      <name val="Book Antiqua"/>
      <family val="1"/>
    </font>
    <font>
      <sz val="14"/>
      <name val="細明體"/>
      <family val="3"/>
      <charset val="136"/>
    </font>
    <font>
      <sz val="14"/>
      <name val="細明體"/>
      <family val="1"/>
      <charset val="136"/>
    </font>
    <font>
      <sz val="14"/>
      <color theme="1"/>
      <name val="細明體"/>
      <family val="1"/>
      <charset val="136"/>
    </font>
    <font>
      <sz val="12"/>
      <name val="Book Antiqua"/>
      <family val="1"/>
    </font>
    <font>
      <sz val="14"/>
      <name val="Microsoft JhengHei"/>
      <family val="1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4"/>
      <color theme="1"/>
      <name val="細明體"/>
      <family val="3"/>
      <charset val="136"/>
    </font>
    <font>
      <b/>
      <sz val="12"/>
      <name val="Book Antiqua"/>
      <family val="1"/>
    </font>
    <font>
      <sz val="14"/>
      <color theme="1"/>
      <name val="Microsoft JhengHei"/>
      <family val="1"/>
      <charset val="136"/>
    </font>
    <font>
      <sz val="12"/>
      <color theme="1"/>
      <name val="細明體"/>
      <family val="3"/>
      <charset val="136"/>
    </font>
    <font>
      <sz val="14"/>
      <name val="Microsoft JhengHei"/>
      <family val="1"/>
      <charset val="136"/>
    </font>
    <font>
      <sz val="14"/>
      <color rgb="FFFF0000"/>
      <name val="Book Antiqua"/>
      <family val="1"/>
    </font>
    <font>
      <b/>
      <sz val="14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color rgb="FFFF0000"/>
      <name val="Microsoft JhengHei"/>
      <family val="1"/>
    </font>
    <font>
      <sz val="12"/>
      <color rgb="FFFF0000"/>
      <name val="Book Antiqua"/>
      <family val="1"/>
    </font>
    <font>
      <sz val="14"/>
      <color theme="1"/>
      <name val="Microsoft JhengHei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17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  <xf numFmtId="0" fontId="57" fillId="0" borderId="0"/>
    <xf numFmtId="0" fontId="58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</cellStyleXfs>
  <cellXfs count="67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15" fillId="0" borderId="16" xfId="2" applyFont="1" applyBorder="1">
      <alignment vertical="center"/>
    </xf>
    <xf numFmtId="0" fontId="15" fillId="0" borderId="0" xfId="2" applyFont="1">
      <alignment vertical="center"/>
    </xf>
    <xf numFmtId="0" fontId="15" fillId="0" borderId="11" xfId="2" applyFont="1" applyBorder="1">
      <alignment vertical="center"/>
    </xf>
    <xf numFmtId="0" fontId="15" fillId="0" borderId="13" xfId="2" applyFont="1" applyBorder="1">
      <alignment vertical="center"/>
    </xf>
    <xf numFmtId="0" fontId="9" fillId="0" borderId="0" xfId="1" applyFont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1" fillId="0" borderId="0" xfId="7" applyFont="1"/>
    <xf numFmtId="0" fontId="24" fillId="0" borderId="0" xfId="8" applyFont="1"/>
    <xf numFmtId="0" fontId="27" fillId="4" borderId="41" xfId="9" applyFont="1" applyFill="1" applyBorder="1" applyAlignment="1" applyProtection="1">
      <alignment horizontal="center" vertical="center" shrinkToFit="1"/>
      <protection hidden="1"/>
    </xf>
    <xf numFmtId="0" fontId="21" fillId="0" borderId="42" xfId="7" applyFont="1" applyBorder="1"/>
    <xf numFmtId="0" fontId="26" fillId="4" borderId="41" xfId="9" applyFont="1" applyFill="1" applyBorder="1" applyAlignment="1" applyProtection="1">
      <alignment horizontal="center" vertical="center" shrinkToFit="1"/>
      <protection hidden="1"/>
    </xf>
    <xf numFmtId="0" fontId="32" fillId="0" borderId="0" xfId="7" applyFont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176" fontId="9" fillId="0" borderId="2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18" xfId="1" applyFont="1" applyBorder="1" applyAlignment="1" applyProtection="1">
      <alignment horizontal="center" vertical="center"/>
      <protection hidden="1"/>
    </xf>
    <xf numFmtId="0" fontId="12" fillId="0" borderId="17" xfId="1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178" fontId="9" fillId="0" borderId="18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2" fillId="0" borderId="11" xfId="1" applyFont="1" applyBorder="1" applyAlignment="1" applyProtection="1">
      <alignment horizontal="center" vertical="center"/>
      <protection hidden="1"/>
    </xf>
    <xf numFmtId="0" fontId="12" fillId="0" borderId="10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hidden="1"/>
    </xf>
    <xf numFmtId="0" fontId="12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178" fontId="9" fillId="0" borderId="11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2" fillId="0" borderId="18" xfId="2" applyFont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center" vertical="center"/>
      <protection hidden="1"/>
    </xf>
    <xf numFmtId="0" fontId="12" fillId="0" borderId="14" xfId="2" applyFont="1" applyBorder="1" applyAlignment="1">
      <alignment horizontal="center" vertical="center"/>
    </xf>
    <xf numFmtId="49" fontId="14" fillId="0" borderId="0" xfId="2" applyNumberFormat="1" applyFont="1" applyAlignment="1">
      <alignment horizontal="center" vertical="center"/>
    </xf>
    <xf numFmtId="49" fontId="14" fillId="0" borderId="11" xfId="2" applyNumberFormat="1" applyFont="1" applyBorder="1" applyAlignment="1">
      <alignment horizontal="center" vertical="center"/>
    </xf>
    <xf numFmtId="49" fontId="15" fillId="0" borderId="17" xfId="2" applyNumberFormat="1" applyFont="1" applyBorder="1" applyAlignment="1">
      <alignment horizontal="center" vertical="center"/>
    </xf>
    <xf numFmtId="49" fontId="15" fillId="0" borderId="14" xfId="2" applyNumberFormat="1" applyFont="1" applyBorder="1" applyAlignment="1">
      <alignment horizontal="center" vertical="center"/>
    </xf>
    <xf numFmtId="49" fontId="14" fillId="0" borderId="14" xfId="2" applyNumberFormat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49" fontId="14" fillId="0" borderId="10" xfId="2" applyNumberFormat="1" applyFont="1" applyBorder="1" applyAlignment="1">
      <alignment horizontal="center" vertical="center"/>
    </xf>
    <xf numFmtId="49" fontId="14" fillId="0" borderId="17" xfId="2" applyNumberFormat="1" applyFont="1" applyBorder="1" applyAlignment="1">
      <alignment horizontal="center" vertical="center"/>
    </xf>
    <xf numFmtId="178" fontId="12" fillId="0" borderId="0" xfId="1" applyNumberFormat="1" applyFont="1" applyAlignment="1">
      <alignment horizontal="center" vertical="center"/>
    </xf>
    <xf numFmtId="178" fontId="12" fillId="0" borderId="1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20" xfId="2" applyFont="1" applyBorder="1">
      <alignment vertical="center"/>
    </xf>
    <xf numFmtId="0" fontId="15" fillId="0" borderId="18" xfId="2" applyFont="1" applyBorder="1">
      <alignment vertical="center"/>
    </xf>
    <xf numFmtId="178" fontId="15" fillId="0" borderId="18" xfId="2" applyNumberFormat="1" applyFont="1" applyBorder="1" applyAlignment="1">
      <alignment horizontal="right" vertical="center"/>
    </xf>
    <xf numFmtId="178" fontId="15" fillId="0" borderId="0" xfId="2" applyNumberFormat="1" applyFont="1" applyAlignment="1">
      <alignment horizontal="right" vertical="center"/>
    </xf>
    <xf numFmtId="178" fontId="15" fillId="0" borderId="11" xfId="2" applyNumberFormat="1" applyFont="1" applyBorder="1" applyAlignment="1">
      <alignment horizontal="right" vertical="center"/>
    </xf>
    <xf numFmtId="0" fontId="23" fillId="4" borderId="28" xfId="7" applyFont="1" applyFill="1" applyBorder="1" applyAlignment="1">
      <alignment horizontal="center" vertical="center" textRotation="255" wrapText="1"/>
    </xf>
    <xf numFmtId="0" fontId="37" fillId="4" borderId="7" xfId="7" applyFont="1" applyFill="1" applyBorder="1" applyAlignment="1">
      <alignment horizontal="center" vertical="center" textRotation="255" wrapText="1"/>
    </xf>
    <xf numFmtId="0" fontId="37" fillId="4" borderId="7" xfId="7" applyFont="1" applyFill="1" applyBorder="1" applyAlignment="1">
      <alignment horizontal="center" vertical="center" wrapText="1"/>
    </xf>
    <xf numFmtId="0" fontId="27" fillId="4" borderId="7" xfId="7" applyFont="1" applyFill="1" applyBorder="1" applyAlignment="1">
      <alignment vertical="center" textRotation="255" wrapText="1"/>
    </xf>
    <xf numFmtId="0" fontId="38" fillId="4" borderId="7" xfId="7" applyFont="1" applyFill="1" applyBorder="1" applyAlignment="1">
      <alignment vertical="center" textRotation="255" wrapText="1"/>
    </xf>
    <xf numFmtId="0" fontId="38" fillId="4" borderId="6" xfId="7" applyFont="1" applyFill="1" applyBorder="1" applyAlignment="1">
      <alignment vertical="center" textRotation="255" wrapText="1"/>
    </xf>
    <xf numFmtId="0" fontId="39" fillId="4" borderId="41" xfId="9" applyFont="1" applyFill="1" applyBorder="1" applyAlignment="1" applyProtection="1">
      <alignment horizontal="center" vertical="center" shrinkToFit="1"/>
      <protection hidden="1"/>
    </xf>
    <xf numFmtId="0" fontId="40" fillId="4" borderId="41" xfId="9" applyFont="1" applyFill="1" applyBorder="1" applyAlignment="1" applyProtection="1">
      <alignment horizontal="center" vertical="center" shrinkToFit="1"/>
      <protection hidden="1"/>
    </xf>
    <xf numFmtId="0" fontId="39" fillId="4" borderId="0" xfId="9" applyFont="1" applyFill="1" applyAlignment="1" applyProtection="1">
      <alignment horizontal="center" vertical="center" shrinkToFit="1"/>
      <protection hidden="1"/>
    </xf>
    <xf numFmtId="0" fontId="41" fillId="0" borderId="0" xfId="3" applyFont="1"/>
    <xf numFmtId="0" fontId="38" fillId="4" borderId="21" xfId="7" applyFont="1" applyFill="1" applyBorder="1" applyAlignment="1">
      <alignment horizontal="center" vertical="center" textRotation="255" wrapText="1"/>
    </xf>
    <xf numFmtId="49" fontId="15" fillId="0" borderId="0" xfId="2" applyNumberFormat="1" applyFont="1" applyAlignment="1">
      <alignment horizontal="center" vertical="center"/>
    </xf>
    <xf numFmtId="49" fontId="15" fillId="0" borderId="11" xfId="2" applyNumberFormat="1" applyFont="1" applyBorder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11" applyFont="1" applyAlignment="1">
      <alignment horizontal="center" vertical="top"/>
    </xf>
    <xf numFmtId="0" fontId="32" fillId="0" borderId="0" xfId="7" applyFont="1"/>
    <xf numFmtId="0" fontId="9" fillId="0" borderId="0" xfId="0" applyFont="1">
      <alignment vertical="center"/>
    </xf>
    <xf numFmtId="0" fontId="25" fillId="4" borderId="7" xfId="7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2" fillId="0" borderId="18" xfId="1" applyFont="1" applyBorder="1" applyAlignment="1">
      <alignment horizontal="left" vertical="center"/>
    </xf>
    <xf numFmtId="0" fontId="30" fillId="0" borderId="0" xfId="7" applyFont="1" applyAlignment="1">
      <alignment vertical="center"/>
    </xf>
    <xf numFmtId="0" fontId="12" fillId="2" borderId="17" xfId="1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49" fontId="12" fillId="0" borderId="14" xfId="2" applyNumberFormat="1" applyFont="1" applyBorder="1" applyAlignment="1">
      <alignment horizontal="center" vertical="center"/>
    </xf>
    <xf numFmtId="49" fontId="12" fillId="0" borderId="11" xfId="2" applyNumberFormat="1" applyFont="1" applyBorder="1" applyAlignment="1">
      <alignment horizontal="center" vertical="center"/>
    </xf>
    <xf numFmtId="49" fontId="12" fillId="0" borderId="10" xfId="2" applyNumberFormat="1" applyFont="1" applyBorder="1" applyAlignment="1">
      <alignment horizontal="center" vertical="center"/>
    </xf>
    <xf numFmtId="49" fontId="12" fillId="0" borderId="17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49" fontId="12" fillId="0" borderId="18" xfId="2" applyNumberFormat="1" applyFont="1" applyBorder="1" applyAlignment="1">
      <alignment horizontal="center" vertical="center"/>
    </xf>
    <xf numFmtId="178" fontId="12" fillId="0" borderId="0" xfId="2" applyNumberFormat="1" applyFont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2" fillId="5" borderId="0" xfId="1" applyFont="1" applyFill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34" xfId="1" applyFont="1" applyBorder="1" applyAlignment="1">
      <alignment vertical="center"/>
    </xf>
    <xf numFmtId="0" fontId="9" fillId="0" borderId="3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left" vertical="center"/>
    </xf>
    <xf numFmtId="0" fontId="12" fillId="3" borderId="18" xfId="2" applyFont="1" applyFill="1" applyBorder="1" applyAlignment="1" applyProtection="1">
      <alignment horizontal="center" vertical="center"/>
      <protection hidden="1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left" vertical="center"/>
    </xf>
    <xf numFmtId="0" fontId="14" fillId="3" borderId="14" xfId="2" applyFont="1" applyFill="1" applyBorder="1" applyAlignment="1">
      <alignment horizontal="center" vertical="center"/>
    </xf>
    <xf numFmtId="0" fontId="12" fillId="3" borderId="0" xfId="2" applyFont="1" applyFill="1" applyAlignment="1" applyProtection="1">
      <alignment horizontal="center" vertical="center"/>
      <protection hidden="1"/>
    </xf>
    <xf numFmtId="0" fontId="12" fillId="3" borderId="14" xfId="2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13" xfId="1" applyFont="1" applyFill="1" applyBorder="1" applyAlignment="1">
      <alignment horizontal="left" vertical="center"/>
    </xf>
    <xf numFmtId="0" fontId="12" fillId="3" borderId="11" xfId="1" applyFont="1" applyFill="1" applyBorder="1" applyAlignment="1">
      <alignment horizontal="left" vertical="center"/>
    </xf>
    <xf numFmtId="0" fontId="12" fillId="3" borderId="11" xfId="2" applyFont="1" applyFill="1" applyBorder="1" applyAlignment="1" applyProtection="1">
      <alignment horizontal="center" vertical="center"/>
      <protection hidden="1"/>
    </xf>
    <xf numFmtId="0" fontId="12" fillId="3" borderId="11" xfId="1" applyFont="1" applyFill="1" applyBorder="1" applyAlignment="1">
      <alignment horizontal="center" vertical="center"/>
    </xf>
    <xf numFmtId="49" fontId="12" fillId="3" borderId="0" xfId="2" applyNumberFormat="1" applyFont="1" applyFill="1" applyAlignment="1">
      <alignment horizontal="center" vertical="center"/>
    </xf>
    <xf numFmtId="49" fontId="12" fillId="3" borderId="11" xfId="2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vertical="center" wrapText="1"/>
    </xf>
    <xf numFmtId="0" fontId="14" fillId="2" borderId="16" xfId="2" applyFont="1" applyFill="1" applyBorder="1">
      <alignment vertical="center"/>
    </xf>
    <xf numFmtId="0" fontId="14" fillId="2" borderId="13" xfId="2" applyFont="1" applyFill="1" applyBorder="1">
      <alignment vertical="center"/>
    </xf>
    <xf numFmtId="0" fontId="14" fillId="2" borderId="11" xfId="2" applyFont="1" applyFill="1" applyBorder="1">
      <alignment vertical="center"/>
    </xf>
    <xf numFmtId="0" fontId="46" fillId="0" borderId="43" xfId="1" applyFont="1" applyBorder="1" applyAlignment="1">
      <alignment horizontal="center" vertical="center"/>
    </xf>
    <xf numFmtId="180" fontId="46" fillId="0" borderId="37" xfId="1" applyNumberFormat="1" applyFont="1" applyBorder="1" applyAlignment="1">
      <alignment horizontal="center" vertical="center"/>
    </xf>
    <xf numFmtId="0" fontId="46" fillId="0" borderId="37" xfId="1" applyFont="1" applyBorder="1" applyAlignment="1">
      <alignment horizontal="center" vertical="center"/>
    </xf>
    <xf numFmtId="0" fontId="47" fillId="0" borderId="37" xfId="1" applyFont="1" applyBorder="1" applyAlignment="1">
      <alignment horizontal="center" vertical="center"/>
    </xf>
    <xf numFmtId="178" fontId="47" fillId="0" borderId="23" xfId="1" applyNumberFormat="1" applyFont="1" applyBorder="1" applyAlignment="1">
      <alignment horizontal="center" vertical="center"/>
    </xf>
    <xf numFmtId="0" fontId="14" fillId="2" borderId="18" xfId="2" applyFont="1" applyFill="1" applyBorder="1" applyAlignment="1" applyProtection="1">
      <alignment horizontal="center" vertical="center"/>
      <protection hidden="1"/>
    </xf>
    <xf numFmtId="0" fontId="14" fillId="2" borderId="10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179" fontId="9" fillId="0" borderId="28" xfId="1" applyNumberFormat="1" applyFont="1" applyBorder="1" applyAlignment="1">
      <alignment vertical="center"/>
    </xf>
    <xf numFmtId="179" fontId="9" fillId="0" borderId="21" xfId="1" applyNumberFormat="1" applyFont="1" applyBorder="1" applyAlignment="1">
      <alignment vertical="center"/>
    </xf>
    <xf numFmtId="179" fontId="9" fillId="0" borderId="7" xfId="1" applyNumberFormat="1" applyFont="1" applyBorder="1" applyAlignment="1">
      <alignment vertical="center"/>
    </xf>
    <xf numFmtId="179" fontId="9" fillId="0" borderId="21" xfId="1" applyNumberFormat="1" applyFont="1" applyBorder="1" applyAlignment="1">
      <alignment vertical="center" shrinkToFit="1"/>
    </xf>
    <xf numFmtId="179" fontId="9" fillId="0" borderId="6" xfId="1" applyNumberFormat="1" applyFont="1" applyBorder="1" applyAlignment="1">
      <alignment horizontal="center" vertical="center" shrinkToFit="1"/>
    </xf>
    <xf numFmtId="179" fontId="9" fillId="0" borderId="31" xfId="1" applyNumberFormat="1" applyFont="1" applyBorder="1" applyAlignment="1">
      <alignment vertical="center"/>
    </xf>
    <xf numFmtId="179" fontId="9" fillId="0" borderId="32" xfId="1" applyNumberFormat="1" applyFont="1" applyBorder="1" applyAlignment="1">
      <alignment vertical="center"/>
    </xf>
    <xf numFmtId="179" fontId="9" fillId="0" borderId="33" xfId="1" applyNumberFormat="1" applyFont="1" applyBorder="1" applyAlignment="1">
      <alignment vertical="center"/>
    </xf>
    <xf numFmtId="179" fontId="9" fillId="0" borderId="9" xfId="1" applyNumberFormat="1" applyFont="1" applyBorder="1" applyAlignment="1">
      <alignment horizontal="center" vertical="center"/>
    </xf>
    <xf numFmtId="0" fontId="14" fillId="2" borderId="11" xfId="2" applyFont="1" applyFill="1" applyBorder="1" applyAlignment="1" applyProtection="1">
      <alignment horizontal="center" vertical="center"/>
      <protection hidden="1"/>
    </xf>
    <xf numFmtId="178" fontId="15" fillId="2" borderId="11" xfId="2" applyNumberFormat="1" applyFont="1" applyFill="1" applyBorder="1" applyAlignment="1">
      <alignment horizontal="right" vertical="center"/>
    </xf>
    <xf numFmtId="0" fontId="9" fillId="0" borderId="28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178" fontId="9" fillId="0" borderId="7" xfId="1" applyNumberFormat="1" applyFont="1" applyBorder="1" applyAlignment="1">
      <alignment vertical="center"/>
    </xf>
    <xf numFmtId="178" fontId="9" fillId="0" borderId="21" xfId="1" applyNumberFormat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179" fontId="9" fillId="0" borderId="21" xfId="1" applyNumberFormat="1" applyFont="1" applyBorder="1" applyAlignment="1">
      <alignment horizontal="left" vertical="center" shrinkToFit="1"/>
    </xf>
    <xf numFmtId="179" fontId="9" fillId="0" borderId="7" xfId="1" applyNumberFormat="1" applyFont="1" applyBorder="1" applyAlignment="1">
      <alignment horizontal="left" vertical="center" shrinkToFit="1"/>
    </xf>
    <xf numFmtId="179" fontId="9" fillId="0" borderId="6" xfId="1" applyNumberFormat="1" applyFont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178" fontId="9" fillId="0" borderId="33" xfId="1" applyNumberFormat="1" applyFont="1" applyBorder="1" applyAlignment="1">
      <alignment vertical="center"/>
    </xf>
    <xf numFmtId="178" fontId="9" fillId="0" borderId="32" xfId="1" applyNumberFormat="1" applyFon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179" fontId="45" fillId="0" borderId="32" xfId="1" applyNumberFormat="1" applyFont="1" applyBorder="1" applyAlignment="1">
      <alignment vertical="center"/>
    </xf>
    <xf numFmtId="179" fontId="45" fillId="0" borderId="9" xfId="1" applyNumberFormat="1" applyFont="1" applyBorder="1" applyAlignment="1">
      <alignment horizontal="center" vertical="center"/>
    </xf>
    <xf numFmtId="179" fontId="9" fillId="0" borderId="33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178" fontId="9" fillId="0" borderId="30" xfId="1" applyNumberFormat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179" fontId="9" fillId="0" borderId="29" xfId="1" applyNumberFormat="1" applyFont="1" applyBorder="1" applyAlignment="1">
      <alignment vertical="center"/>
    </xf>
    <xf numFmtId="179" fontId="9" fillId="0" borderId="30" xfId="1" applyNumberFormat="1" applyFont="1" applyBorder="1" applyAlignment="1">
      <alignment vertical="center"/>
    </xf>
    <xf numFmtId="179" fontId="9" fillId="0" borderId="30" xfId="1" applyNumberFormat="1" applyFont="1" applyBorder="1" applyAlignment="1">
      <alignment horizontal="center" vertical="center"/>
    </xf>
    <xf numFmtId="179" fontId="9" fillId="0" borderId="5" xfId="1" applyNumberFormat="1" applyFont="1" applyBorder="1" applyAlignment="1">
      <alignment horizontal="center" vertical="center"/>
    </xf>
    <xf numFmtId="179" fontId="9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4" fillId="2" borderId="0" xfId="2" applyFont="1" applyFill="1" applyAlignment="1" applyProtection="1">
      <alignment horizontal="center" vertical="center"/>
      <protection hidden="1"/>
    </xf>
    <xf numFmtId="0" fontId="9" fillId="0" borderId="20" xfId="2" applyFont="1" applyBorder="1">
      <alignment vertical="center"/>
    </xf>
    <xf numFmtId="0" fontId="9" fillId="0" borderId="18" xfId="2" applyFont="1" applyBorder="1">
      <alignment vertical="center"/>
    </xf>
    <xf numFmtId="178" fontId="9" fillId="0" borderId="18" xfId="2" applyNumberFormat="1" applyFont="1" applyBorder="1" applyAlignment="1">
      <alignment horizontal="right" vertical="center"/>
    </xf>
    <xf numFmtId="0" fontId="9" fillId="0" borderId="17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178" fontId="9" fillId="0" borderId="18" xfId="2" applyNumberFormat="1" applyFont="1" applyBorder="1" applyAlignment="1">
      <alignment horizontal="center" vertical="center"/>
    </xf>
    <xf numFmtId="0" fontId="9" fillId="0" borderId="16" xfId="2" applyFont="1" applyBorder="1">
      <alignment vertical="center"/>
    </xf>
    <xf numFmtId="0" fontId="9" fillId="0" borderId="0" xfId="2" applyFont="1">
      <alignment vertical="center"/>
    </xf>
    <xf numFmtId="178" fontId="9" fillId="0" borderId="0" xfId="2" applyNumberFormat="1" applyFont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8" fontId="9" fillId="0" borderId="0" xfId="2" applyNumberFormat="1" applyFont="1" applyAlignment="1">
      <alignment horizontal="center" vertical="center"/>
    </xf>
    <xf numFmtId="0" fontId="9" fillId="0" borderId="13" xfId="2" applyFont="1" applyBorder="1">
      <alignment vertical="center"/>
    </xf>
    <xf numFmtId="0" fontId="9" fillId="0" borderId="11" xfId="2" applyFont="1" applyBorder="1">
      <alignment vertical="center"/>
    </xf>
    <xf numFmtId="178" fontId="9" fillId="0" borderId="11" xfId="2" applyNumberFormat="1" applyFont="1" applyBorder="1" applyAlignment="1">
      <alignment horizontal="right" vertical="center"/>
    </xf>
    <xf numFmtId="0" fontId="9" fillId="0" borderId="10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178" fontId="9" fillId="0" borderId="11" xfId="2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49" fontId="9" fillId="0" borderId="0" xfId="2" applyNumberFormat="1" applyFont="1" applyAlignment="1">
      <alignment horizontal="center" vertical="center"/>
    </xf>
    <xf numFmtId="0" fontId="12" fillId="0" borderId="11" xfId="2" applyFont="1" applyBorder="1" applyAlignment="1" applyProtection="1">
      <alignment horizontal="center" vertical="center"/>
      <protection hidden="1"/>
    </xf>
    <xf numFmtId="49" fontId="9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49" fontId="9" fillId="0" borderId="17" xfId="2" applyNumberFormat="1" applyFont="1" applyBorder="1" applyAlignment="1">
      <alignment horizontal="center" vertical="center"/>
    </xf>
    <xf numFmtId="49" fontId="9" fillId="0" borderId="14" xfId="2" applyNumberFormat="1" applyFont="1" applyBorder="1" applyAlignment="1">
      <alignment horizontal="center" vertical="center"/>
    </xf>
    <xf numFmtId="178" fontId="12" fillId="0" borderId="11" xfId="2" applyNumberFormat="1" applyFont="1" applyBorder="1" applyAlignment="1">
      <alignment horizontal="center" vertical="center"/>
    </xf>
    <xf numFmtId="179" fontId="9" fillId="0" borderId="7" xfId="1" applyNumberFormat="1" applyFont="1" applyBorder="1" applyAlignment="1">
      <alignment horizontal="center" vertical="center" shrinkToFit="1"/>
    </xf>
    <xf numFmtId="179" fontId="9" fillId="0" borderId="7" xfId="1" applyNumberFormat="1" applyFont="1" applyBorder="1" applyAlignment="1">
      <alignment vertical="center" shrinkToFit="1"/>
    </xf>
    <xf numFmtId="179" fontId="9" fillId="0" borderId="7" xfId="1" applyNumberFormat="1" applyFont="1" applyBorder="1" applyAlignment="1">
      <alignment horizontal="center" vertical="center"/>
    </xf>
    <xf numFmtId="0" fontId="48" fillId="0" borderId="43" xfId="1" applyFont="1" applyBorder="1" applyAlignment="1">
      <alignment horizontal="center" vertical="center"/>
    </xf>
    <xf numFmtId="180" fontId="48" fillId="0" borderId="37" xfId="1" applyNumberFormat="1" applyFont="1" applyBorder="1" applyAlignment="1">
      <alignment horizontal="center" vertical="center"/>
    </xf>
    <xf numFmtId="0" fontId="48" fillId="0" borderId="37" xfId="1" applyFont="1" applyBorder="1" applyAlignment="1">
      <alignment horizontal="center" vertical="center"/>
    </xf>
    <xf numFmtId="178" fontId="48" fillId="0" borderId="23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3" borderId="0" xfId="1" applyFont="1" applyFill="1" applyAlignment="1">
      <alignment horizontal="left" vertical="center"/>
    </xf>
    <xf numFmtId="0" fontId="14" fillId="2" borderId="0" xfId="2" applyFont="1" applyFill="1">
      <alignment vertical="center"/>
    </xf>
    <xf numFmtId="178" fontId="15" fillId="2" borderId="0" xfId="2" applyNumberFormat="1" applyFont="1" applyFill="1" applyAlignment="1">
      <alignment horizontal="right" vertical="center"/>
    </xf>
    <xf numFmtId="179" fontId="9" fillId="0" borderId="32" xfId="1" applyNumberFormat="1" applyFont="1" applyBorder="1" applyAlignment="1">
      <alignment horizontal="left" vertical="center"/>
    </xf>
    <xf numFmtId="179" fontId="9" fillId="0" borderId="30" xfId="1" applyNumberFormat="1" applyFont="1" applyBorder="1" applyAlignment="1">
      <alignment horizontal="left" vertical="center"/>
    </xf>
    <xf numFmtId="179" fontId="9" fillId="0" borderId="21" xfId="1" applyNumberFormat="1" applyFont="1" applyBorder="1" applyAlignment="1">
      <alignment horizontal="left" vertical="center"/>
    </xf>
    <xf numFmtId="0" fontId="49" fillId="2" borderId="16" xfId="2" applyFont="1" applyFill="1" applyBorder="1">
      <alignment vertical="center"/>
    </xf>
    <xf numFmtId="0" fontId="49" fillId="2" borderId="20" xfId="1" applyFont="1" applyFill="1" applyBorder="1" applyAlignment="1">
      <alignment vertical="center" wrapText="1"/>
    </xf>
    <xf numFmtId="0" fontId="9" fillId="0" borderId="16" xfId="1" applyFont="1" applyBorder="1" applyAlignment="1">
      <alignment horizontal="center" vertical="center" textRotation="255"/>
    </xf>
    <xf numFmtId="0" fontId="5" fillId="6" borderId="31" xfId="1" applyFill="1" applyBorder="1" applyAlignment="1">
      <alignment vertical="center"/>
    </xf>
    <xf numFmtId="0" fontId="5" fillId="6" borderId="32" xfId="1" applyFill="1" applyBorder="1" applyAlignment="1">
      <alignment vertical="center"/>
    </xf>
    <xf numFmtId="178" fontId="5" fillId="6" borderId="33" xfId="1" applyNumberFormat="1" applyFill="1" applyBorder="1" applyAlignment="1">
      <alignment vertical="center"/>
    </xf>
    <xf numFmtId="178" fontId="5" fillId="6" borderId="32" xfId="1" applyNumberFormat="1" applyFill="1" applyBorder="1" applyAlignment="1">
      <alignment vertical="center"/>
    </xf>
    <xf numFmtId="0" fontId="5" fillId="6" borderId="9" xfId="1" applyFill="1" applyBorder="1" applyAlignment="1">
      <alignment horizontal="center" vertical="center"/>
    </xf>
    <xf numFmtId="179" fontId="5" fillId="6" borderId="31" xfId="1" applyNumberFormat="1" applyFill="1" applyBorder="1" applyAlignment="1">
      <alignment vertical="center"/>
    </xf>
    <xf numFmtId="1" fontId="5" fillId="6" borderId="33" xfId="1" applyNumberFormat="1" applyFill="1" applyBorder="1" applyAlignment="1">
      <alignment vertical="center"/>
    </xf>
    <xf numFmtId="1" fontId="5" fillId="6" borderId="32" xfId="1" applyNumberFormat="1" applyFill="1" applyBorder="1" applyAlignment="1">
      <alignment vertical="center"/>
    </xf>
    <xf numFmtId="179" fontId="5" fillId="6" borderId="9" xfId="1" applyNumberFormat="1" applyFill="1" applyBorder="1" applyAlignment="1">
      <alignment horizontal="center" vertical="center"/>
    </xf>
    <xf numFmtId="179" fontId="5" fillId="6" borderId="32" xfId="1" applyNumberFormat="1" applyFill="1" applyBorder="1" applyAlignment="1">
      <alignment vertical="center"/>
    </xf>
    <xf numFmtId="179" fontId="5" fillId="6" borderId="33" xfId="1" applyNumberFormat="1" applyFill="1" applyBorder="1" applyAlignment="1">
      <alignment vertical="center"/>
    </xf>
    <xf numFmtId="0" fontId="5" fillId="6" borderId="46" xfId="1" applyFill="1" applyBorder="1" applyAlignment="1">
      <alignment vertical="center"/>
    </xf>
    <xf numFmtId="0" fontId="5" fillId="6" borderId="47" xfId="1" applyFill="1" applyBorder="1" applyAlignment="1">
      <alignment vertical="center"/>
    </xf>
    <xf numFmtId="1" fontId="5" fillId="6" borderId="48" xfId="1" applyNumberFormat="1" applyFill="1" applyBorder="1" applyAlignment="1">
      <alignment vertical="center"/>
    </xf>
    <xf numFmtId="1" fontId="5" fillId="6" borderId="47" xfId="1" applyNumberFormat="1" applyFill="1" applyBorder="1" applyAlignment="1">
      <alignment vertical="center"/>
    </xf>
    <xf numFmtId="0" fontId="5" fillId="6" borderId="49" xfId="1" applyFill="1" applyBorder="1" applyAlignment="1">
      <alignment horizontal="center" vertical="center"/>
    </xf>
    <xf numFmtId="179" fontId="5" fillId="6" borderId="46" xfId="1" applyNumberFormat="1" applyFill="1" applyBorder="1" applyAlignment="1">
      <alignment vertical="center"/>
    </xf>
    <xf numFmtId="179" fontId="5" fillId="6" borderId="49" xfId="1" applyNumberFormat="1" applyFill="1" applyBorder="1" applyAlignment="1">
      <alignment horizontal="center" vertical="center"/>
    </xf>
    <xf numFmtId="0" fontId="51" fillId="0" borderId="18" xfId="2" applyFont="1" applyBorder="1" applyAlignment="1" applyProtection="1">
      <alignment horizontal="center" vertical="center"/>
      <protection hidden="1"/>
    </xf>
    <xf numFmtId="0" fontId="51" fillId="0" borderId="0" xfId="2" applyFont="1" applyAlignment="1" applyProtection="1">
      <alignment horizontal="center" vertical="center"/>
      <protection hidden="1"/>
    </xf>
    <xf numFmtId="0" fontId="51" fillId="0" borderId="14" xfId="2" applyFont="1" applyBorder="1" applyAlignment="1">
      <alignment horizontal="center" vertical="center"/>
    </xf>
    <xf numFmtId="0" fontId="51" fillId="5" borderId="0" xfId="2" applyFont="1" applyFill="1" applyAlignment="1" applyProtection="1">
      <alignment horizontal="center" vertical="center"/>
      <protection hidden="1"/>
    </xf>
    <xf numFmtId="0" fontId="51" fillId="0" borderId="10" xfId="2" applyFont="1" applyBorder="1" applyAlignment="1">
      <alignment horizontal="center" vertical="center"/>
    </xf>
    <xf numFmtId="49" fontId="51" fillId="0" borderId="0" xfId="2" applyNumberFormat="1" applyFont="1" applyAlignment="1">
      <alignment horizontal="center" vertical="center"/>
    </xf>
    <xf numFmtId="49" fontId="51" fillId="0" borderId="11" xfId="2" applyNumberFormat="1" applyFont="1" applyBorder="1" applyAlignment="1">
      <alignment horizontal="center" vertical="center"/>
    </xf>
    <xf numFmtId="0" fontId="53" fillId="0" borderId="14" xfId="2" applyFont="1" applyBorder="1" applyAlignment="1">
      <alignment horizontal="center" vertical="center"/>
    </xf>
    <xf numFmtId="0" fontId="51" fillId="0" borderId="11" xfId="2" applyFont="1" applyBorder="1" applyAlignment="1" applyProtection="1">
      <alignment horizontal="center" vertical="center"/>
      <protection hidden="1"/>
    </xf>
    <xf numFmtId="0" fontId="54" fillId="0" borderId="17" xfId="1" applyFont="1" applyBorder="1" applyAlignment="1">
      <alignment horizontal="center" vertical="center"/>
    </xf>
    <xf numFmtId="0" fontId="56" fillId="0" borderId="1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14" fillId="3" borderId="0" xfId="2" applyNumberFormat="1" applyFont="1" applyFill="1" applyAlignment="1">
      <alignment horizontal="center" vertical="center"/>
    </xf>
    <xf numFmtId="49" fontId="14" fillId="3" borderId="11" xfId="2" applyNumberFormat="1" applyFont="1" applyFill="1" applyBorder="1" applyAlignment="1">
      <alignment horizontal="center" vertical="center"/>
    </xf>
    <xf numFmtId="0" fontId="51" fillId="0" borderId="17" xfId="2" applyFont="1" applyBorder="1" applyAlignment="1">
      <alignment horizontal="center" vertical="center"/>
    </xf>
    <xf numFmtId="0" fontId="55" fillId="0" borderId="14" xfId="2" applyFont="1" applyBorder="1" applyAlignment="1">
      <alignment horizontal="center" vertical="center"/>
    </xf>
    <xf numFmtId="0" fontId="55" fillId="0" borderId="10" xfId="2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1" fontId="5" fillId="6" borderId="33" xfId="1" applyNumberFormat="1" applyFill="1" applyBorder="1" applyAlignment="1">
      <alignment horizontal="center" vertical="center"/>
    </xf>
    <xf numFmtId="1" fontId="5" fillId="6" borderId="48" xfId="1" applyNumberFormat="1" applyFill="1" applyBorder="1" applyAlignment="1">
      <alignment horizontal="center" vertical="center"/>
    </xf>
    <xf numFmtId="0" fontId="11" fillId="0" borderId="18" xfId="1" applyFont="1" applyBorder="1" applyAlignment="1" applyProtection="1">
      <alignment horizontal="center" vertical="center"/>
      <protection hidden="1"/>
    </xf>
    <xf numFmtId="0" fontId="11" fillId="0" borderId="11" xfId="1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55" fillId="0" borderId="0" xfId="2" applyFont="1" applyAlignment="1" applyProtection="1">
      <alignment horizontal="center" vertical="center"/>
      <protection hidden="1"/>
    </xf>
    <xf numFmtId="49" fontId="51" fillId="0" borderId="14" xfId="2" applyNumberFormat="1" applyFont="1" applyBorder="1" applyAlignment="1">
      <alignment horizontal="center" vertical="center"/>
    </xf>
    <xf numFmtId="0" fontId="55" fillId="0" borderId="17" xfId="2" applyFont="1" applyBorder="1" applyAlignment="1">
      <alignment horizontal="center" vertical="center"/>
    </xf>
    <xf numFmtId="0" fontId="62" fillId="0" borderId="1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51" fillId="2" borderId="18" xfId="2" applyFont="1" applyFill="1" applyBorder="1" applyAlignment="1" applyProtection="1">
      <alignment horizontal="center" vertical="center"/>
      <protection hidden="1"/>
    </xf>
    <xf numFmtId="0" fontId="11" fillId="2" borderId="17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center" vertical="center"/>
    </xf>
    <xf numFmtId="0" fontId="51" fillId="2" borderId="0" xfId="2" applyFont="1" applyFill="1" applyAlignment="1" applyProtection="1">
      <alignment horizontal="center" vertical="center"/>
      <protection hidden="1"/>
    </xf>
    <xf numFmtId="0" fontId="51" fillId="2" borderId="14" xfId="2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left" vertical="center"/>
    </xf>
    <xf numFmtId="0" fontId="12" fillId="2" borderId="11" xfId="1" applyFont="1" applyFill="1" applyBorder="1" applyAlignment="1">
      <alignment horizontal="center" vertical="center"/>
    </xf>
    <xf numFmtId="0" fontId="51" fillId="2" borderId="10" xfId="2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178" fontId="11" fillId="2" borderId="0" xfId="1" applyNumberFormat="1" applyFont="1" applyFill="1" applyAlignment="1">
      <alignment horizontal="right" vertical="center"/>
    </xf>
    <xf numFmtId="0" fontId="12" fillId="2" borderId="0" xfId="2" applyFont="1" applyFill="1">
      <alignment vertical="center"/>
    </xf>
    <xf numFmtId="178" fontId="11" fillId="2" borderId="0" xfId="2" applyNumberFormat="1" applyFont="1" applyFill="1" applyAlignment="1">
      <alignment horizontal="right" vertical="center"/>
    </xf>
    <xf numFmtId="0" fontId="15" fillId="2" borderId="0" xfId="2" applyFont="1" applyFill="1">
      <alignment vertical="center"/>
    </xf>
    <xf numFmtId="0" fontId="11" fillId="2" borderId="14" xfId="1" applyFont="1" applyFill="1" applyBorder="1" applyAlignment="1">
      <alignment horizontal="center" vertical="center"/>
    </xf>
    <xf numFmtId="0" fontId="55" fillId="2" borderId="14" xfId="2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vertical="center"/>
    </xf>
    <xf numFmtId="178" fontId="11" fillId="2" borderId="11" xfId="1" applyNumberFormat="1" applyFont="1" applyFill="1" applyBorder="1" applyAlignment="1">
      <alignment horizontal="right" vertical="center"/>
    </xf>
    <xf numFmtId="0" fontId="11" fillId="2" borderId="10" xfId="1" applyFont="1" applyFill="1" applyBorder="1" applyAlignment="1">
      <alignment horizontal="center" vertical="center"/>
    </xf>
    <xf numFmtId="0" fontId="12" fillId="2" borderId="11" xfId="2" applyFont="1" applyFill="1" applyBorder="1">
      <alignment vertical="center"/>
    </xf>
    <xf numFmtId="178" fontId="11" fillId="2" borderId="11" xfId="2" applyNumberFormat="1" applyFont="1" applyFill="1" applyBorder="1" applyAlignment="1">
      <alignment horizontal="right" vertical="center"/>
    </xf>
    <xf numFmtId="0" fontId="15" fillId="2" borderId="11" xfId="2" applyFont="1" applyFill="1" applyBorder="1">
      <alignment vertical="center"/>
    </xf>
    <xf numFmtId="0" fontId="55" fillId="2" borderId="10" xfId="2" applyFont="1" applyFill="1" applyBorder="1" applyAlignment="1">
      <alignment horizontal="center" vertical="center"/>
    </xf>
    <xf numFmtId="0" fontId="53" fillId="2" borderId="14" xfId="2" applyFont="1" applyFill="1" applyBorder="1" applyAlignment="1">
      <alignment horizontal="center" vertical="center"/>
    </xf>
    <xf numFmtId="178" fontId="55" fillId="2" borderId="0" xfId="2" applyNumberFormat="1" applyFont="1" applyFill="1" applyAlignment="1">
      <alignment horizontal="right" vertical="center"/>
    </xf>
    <xf numFmtId="178" fontId="51" fillId="2" borderId="0" xfId="2" applyNumberFormat="1" applyFont="1" applyFill="1" applyAlignment="1">
      <alignment horizontal="right" vertical="center"/>
    </xf>
    <xf numFmtId="178" fontId="55" fillId="2" borderId="11" xfId="2" applyNumberFormat="1" applyFont="1" applyFill="1" applyBorder="1" applyAlignment="1">
      <alignment horizontal="right" vertical="center"/>
    </xf>
    <xf numFmtId="178" fontId="51" fillId="2" borderId="11" xfId="2" applyNumberFormat="1" applyFont="1" applyFill="1" applyBorder="1" applyAlignment="1">
      <alignment horizontal="right" vertical="center"/>
    </xf>
    <xf numFmtId="0" fontId="12" fillId="2" borderId="13" xfId="1" applyFont="1" applyFill="1" applyBorder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0" fontId="14" fillId="2" borderId="16" xfId="2" applyFont="1" applyFill="1" applyBorder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0" fontId="14" fillId="2" borderId="11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56" fillId="2" borderId="14" xfId="2" applyFont="1" applyFill="1" applyBorder="1" applyAlignment="1">
      <alignment horizontal="center" vertical="center"/>
    </xf>
    <xf numFmtId="0" fontId="60" fillId="0" borderId="17" xfId="1" applyFont="1" applyBorder="1" applyAlignment="1">
      <alignment horizontal="center" vertical="center"/>
    </xf>
    <xf numFmtId="0" fontId="12" fillId="5" borderId="16" xfId="1" applyFont="1" applyFill="1" applyBorder="1" applyAlignment="1">
      <alignment horizontal="left" vertical="center"/>
    </xf>
    <xf numFmtId="0" fontId="12" fillId="0" borderId="20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49" fillId="2" borderId="16" xfId="1" applyFont="1" applyFill="1" applyBorder="1" applyAlignment="1">
      <alignment horizontal="left" vertical="center"/>
    </xf>
    <xf numFmtId="0" fontId="15" fillId="2" borderId="16" xfId="2" applyFont="1" applyFill="1" applyBorder="1" applyAlignment="1">
      <alignment horizontal="left" vertical="center"/>
    </xf>
    <xf numFmtId="0" fontId="15" fillId="2" borderId="13" xfId="2" applyFont="1" applyFill="1" applyBorder="1" applyAlignment="1">
      <alignment horizontal="left" vertical="center"/>
    </xf>
    <xf numFmtId="0" fontId="12" fillId="0" borderId="18" xfId="1" applyFont="1" applyBorder="1" applyAlignment="1">
      <alignment vertical="center"/>
    </xf>
    <xf numFmtId="0" fontId="12" fillId="5" borderId="0" xfId="1" applyFont="1" applyFill="1" applyAlignment="1">
      <alignment horizontal="left" vertical="center"/>
    </xf>
    <xf numFmtId="0" fontId="12" fillId="5" borderId="0" xfId="1" applyFont="1" applyFill="1" applyAlignment="1">
      <alignment vertical="center"/>
    </xf>
    <xf numFmtId="0" fontId="49" fillId="0" borderId="13" xfId="1" applyFont="1" applyBorder="1" applyAlignment="1">
      <alignment horizontal="left" vertical="center"/>
    </xf>
    <xf numFmtId="0" fontId="56" fillId="0" borderId="17" xfId="2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51" fillId="0" borderId="0" xfId="2" applyFont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52" fillId="0" borderId="14" xfId="2" applyFont="1" applyBorder="1" applyAlignment="1">
      <alignment horizontal="center" vertical="center"/>
    </xf>
    <xf numFmtId="0" fontId="51" fillId="0" borderId="11" xfId="2" applyFont="1" applyBorder="1" applyAlignment="1">
      <alignment horizontal="center" vertical="center"/>
    </xf>
    <xf numFmtId="49" fontId="51" fillId="0" borderId="10" xfId="2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178" fontId="11" fillId="0" borderId="0" xfId="2" applyNumberFormat="1" applyFont="1" applyAlignment="1">
      <alignment horizontal="right" vertical="center"/>
    </xf>
    <xf numFmtId="0" fontId="15" fillId="0" borderId="16" xfId="2" applyFont="1" applyBorder="1" applyAlignment="1">
      <alignment horizontal="left" vertical="center"/>
    </xf>
    <xf numFmtId="178" fontId="55" fillId="0" borderId="0" xfId="2" applyNumberFormat="1" applyFont="1" applyAlignment="1">
      <alignment horizontal="right" vertical="center"/>
    </xf>
    <xf numFmtId="0" fontId="14" fillId="0" borderId="0" xfId="2" applyFont="1">
      <alignment vertical="center"/>
    </xf>
    <xf numFmtId="178" fontId="51" fillId="0" borderId="0" xfId="2" applyNumberFormat="1" applyFont="1" applyAlignment="1">
      <alignment horizontal="right" vertical="center"/>
    </xf>
    <xf numFmtId="0" fontId="12" fillId="0" borderId="11" xfId="2" applyFont="1" applyBorder="1" applyAlignment="1">
      <alignment horizontal="left" vertical="center"/>
    </xf>
    <xf numFmtId="0" fontId="12" fillId="0" borderId="11" xfId="2" applyFont="1" applyBorder="1">
      <alignment vertical="center"/>
    </xf>
    <xf numFmtId="178" fontId="11" fillId="0" borderId="11" xfId="2" applyNumberFormat="1" applyFont="1" applyBorder="1" applyAlignment="1">
      <alignment horizontal="right" vertical="center"/>
    </xf>
    <xf numFmtId="0" fontId="15" fillId="0" borderId="13" xfId="2" applyFont="1" applyBorder="1" applyAlignment="1">
      <alignment horizontal="left" vertical="center"/>
    </xf>
    <xf numFmtId="178" fontId="55" fillId="0" borderId="11" xfId="2" applyNumberFormat="1" applyFont="1" applyBorder="1" applyAlignment="1">
      <alignment horizontal="right" vertical="center"/>
    </xf>
    <xf numFmtId="0" fontId="14" fillId="0" borderId="11" xfId="2" applyFont="1" applyBorder="1">
      <alignment vertical="center"/>
    </xf>
    <xf numFmtId="178" fontId="51" fillId="0" borderId="11" xfId="2" applyNumberFormat="1" applyFont="1" applyBorder="1" applyAlignment="1">
      <alignment horizontal="right" vertical="center"/>
    </xf>
    <xf numFmtId="0" fontId="63" fillId="0" borderId="0" xfId="0" applyFont="1">
      <alignment vertical="center"/>
    </xf>
    <xf numFmtId="0" fontId="14" fillId="0" borderId="16" xfId="2" applyFont="1" applyBorder="1">
      <alignment vertical="center"/>
    </xf>
    <xf numFmtId="0" fontId="14" fillId="0" borderId="0" xfId="2" applyFont="1" applyAlignment="1">
      <alignment horizontal="left" vertical="center"/>
    </xf>
    <xf numFmtId="0" fontId="14" fillId="0" borderId="11" xfId="2" applyFont="1" applyBorder="1" applyAlignment="1">
      <alignment horizontal="left" vertical="center"/>
    </xf>
    <xf numFmtId="178" fontId="11" fillId="0" borderId="0" xfId="1" applyNumberFormat="1" applyFont="1" applyAlignment="1">
      <alignment horizontal="right" vertical="center"/>
    </xf>
    <xf numFmtId="0" fontId="11" fillId="0" borderId="14" xfId="1" applyFont="1" applyBorder="1" applyAlignment="1">
      <alignment horizontal="center" vertical="center"/>
    </xf>
    <xf numFmtId="178" fontId="11" fillId="0" borderId="11" xfId="1" applyNumberFormat="1" applyFont="1" applyBorder="1" applyAlignment="1">
      <alignment horizontal="right" vertical="center"/>
    </xf>
    <xf numFmtId="0" fontId="64" fillId="0" borderId="14" xfId="2" applyFont="1" applyBorder="1" applyAlignment="1">
      <alignment horizontal="center" vertical="center"/>
    </xf>
    <xf numFmtId="0" fontId="12" fillId="5" borderId="0" xfId="2" applyFont="1" applyFill="1" applyAlignment="1" applyProtection="1">
      <alignment horizontal="center" vertical="center"/>
      <protection hidden="1"/>
    </xf>
    <xf numFmtId="0" fontId="12" fillId="2" borderId="20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54" fillId="2" borderId="17" xfId="1" applyFont="1" applyFill="1" applyBorder="1" applyAlignment="1">
      <alignment horizontal="center" vertical="center"/>
    </xf>
    <xf numFmtId="0" fontId="52" fillId="2" borderId="14" xfId="2" applyFont="1" applyFill="1" applyBorder="1" applyAlignment="1">
      <alignment horizontal="center" vertical="center"/>
    </xf>
    <xf numFmtId="0" fontId="52" fillId="2" borderId="0" xfId="2" applyFont="1" applyFill="1" applyAlignment="1" applyProtection="1">
      <alignment horizontal="center" vertical="center"/>
      <protection hidden="1"/>
    </xf>
    <xf numFmtId="0" fontId="65" fillId="0" borderId="0" xfId="2" applyFont="1" applyAlignment="1" applyProtection="1">
      <alignment horizontal="center" vertical="center"/>
      <protection hidden="1"/>
    </xf>
    <xf numFmtId="0" fontId="49" fillId="0" borderId="20" xfId="1" applyFont="1" applyBorder="1" applyAlignment="1">
      <alignment horizontal="left" vertical="center"/>
    </xf>
    <xf numFmtId="0" fontId="65" fillId="0" borderId="18" xfId="2" applyFont="1" applyBorder="1" applyAlignment="1" applyProtection="1">
      <alignment horizontal="center" vertical="center"/>
      <protection hidden="1"/>
    </xf>
    <xf numFmtId="0" fontId="49" fillId="3" borderId="16" xfId="1" applyFont="1" applyFill="1" applyBorder="1" applyAlignment="1">
      <alignment horizontal="left" vertical="center"/>
    </xf>
    <xf numFmtId="0" fontId="49" fillId="3" borderId="0" xfId="2" applyFont="1" applyFill="1" applyAlignment="1" applyProtection="1">
      <alignment horizontal="center" vertical="center"/>
      <protection hidden="1"/>
    </xf>
    <xf numFmtId="0" fontId="49" fillId="3" borderId="18" xfId="2" applyFont="1" applyFill="1" applyBorder="1" applyAlignment="1" applyProtection="1">
      <alignment horizontal="center" vertical="center"/>
      <protection hidden="1"/>
    </xf>
    <xf numFmtId="0" fontId="49" fillId="0" borderId="16" xfId="1" applyFont="1" applyBorder="1" applyAlignment="1">
      <alignment vertical="center"/>
    </xf>
    <xf numFmtId="0" fontId="49" fillId="0" borderId="0" xfId="2" applyFont="1" applyAlignment="1" applyProtection="1">
      <alignment horizontal="center" vertical="center"/>
      <protection hidden="1"/>
    </xf>
    <xf numFmtId="0" fontId="49" fillId="0" borderId="14" xfId="2" applyFont="1" applyBorder="1" applyAlignment="1">
      <alignment horizontal="center" vertical="center"/>
    </xf>
    <xf numFmtId="0" fontId="49" fillId="0" borderId="20" xfId="1" applyFont="1" applyBorder="1" applyAlignment="1">
      <alignment vertical="center"/>
    </xf>
    <xf numFmtId="0" fontId="49" fillId="0" borderId="18" xfId="1" applyFont="1" applyBorder="1" applyAlignment="1">
      <alignment horizontal="center" vertical="center"/>
    </xf>
    <xf numFmtId="0" fontId="49" fillId="0" borderId="18" xfId="2" applyFont="1" applyBorder="1" applyAlignment="1" applyProtection="1">
      <alignment horizontal="center" vertical="center"/>
      <protection hidden="1"/>
    </xf>
    <xf numFmtId="0" fontId="49" fillId="0" borderId="17" xfId="1" applyFont="1" applyBorder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49" fillId="5" borderId="16" xfId="1" applyFont="1" applyFill="1" applyBorder="1" applyAlignment="1">
      <alignment vertical="center"/>
    </xf>
    <xf numFmtId="0" fontId="49" fillId="5" borderId="0" xfId="1" applyFont="1" applyFill="1" applyAlignment="1">
      <alignment horizontal="center" vertical="center"/>
    </xf>
    <xf numFmtId="0" fontId="49" fillId="5" borderId="0" xfId="2" applyFont="1" applyFill="1" applyAlignment="1" applyProtection="1">
      <alignment horizontal="center" vertical="center"/>
      <protection hidden="1"/>
    </xf>
    <xf numFmtId="0" fontId="49" fillId="0" borderId="13" xfId="1" applyFont="1" applyBorder="1" applyAlignment="1">
      <alignment vertical="center"/>
    </xf>
    <xf numFmtId="0" fontId="49" fillId="0" borderId="11" xfId="1" applyFont="1" applyBorder="1" applyAlignment="1">
      <alignment horizontal="center" vertical="center"/>
    </xf>
    <xf numFmtId="0" fontId="49" fillId="0" borderId="10" xfId="2" applyFont="1" applyBorder="1" applyAlignment="1">
      <alignment horizontal="center" vertical="center"/>
    </xf>
    <xf numFmtId="0" fontId="49" fillId="3" borderId="20" xfId="1" applyFont="1" applyFill="1" applyBorder="1" applyAlignment="1">
      <alignment horizontal="left" vertical="center"/>
    </xf>
    <xf numFmtId="0" fontId="49" fillId="3" borderId="18" xfId="1" applyFont="1" applyFill="1" applyBorder="1" applyAlignment="1">
      <alignment horizontal="center" vertical="center"/>
    </xf>
    <xf numFmtId="0" fontId="49" fillId="3" borderId="0" xfId="1" applyFont="1" applyFill="1" applyAlignment="1">
      <alignment horizontal="center" vertical="center"/>
    </xf>
    <xf numFmtId="0" fontId="49" fillId="3" borderId="13" xfId="1" applyFont="1" applyFill="1" applyBorder="1" applyAlignment="1">
      <alignment horizontal="left" vertical="center"/>
    </xf>
    <xf numFmtId="0" fontId="49" fillId="3" borderId="11" xfId="1" applyFont="1" applyFill="1" applyBorder="1" applyAlignment="1">
      <alignment horizontal="center" vertical="center"/>
    </xf>
    <xf numFmtId="0" fontId="49" fillId="3" borderId="0" xfId="1" applyFont="1" applyFill="1" applyAlignment="1">
      <alignment horizontal="left" vertical="center"/>
    </xf>
    <xf numFmtId="0" fontId="49" fillId="3" borderId="11" xfId="1" applyFont="1" applyFill="1" applyBorder="1" applyAlignment="1">
      <alignment horizontal="left" vertical="center"/>
    </xf>
    <xf numFmtId="0" fontId="49" fillId="3" borderId="11" xfId="2" applyFont="1" applyFill="1" applyBorder="1" applyAlignment="1" applyProtection="1">
      <alignment horizontal="center" vertical="center"/>
      <protection hidden="1"/>
    </xf>
    <xf numFmtId="0" fontId="49" fillId="0" borderId="18" xfId="1" applyFont="1" applyBorder="1" applyAlignment="1" applyProtection="1">
      <alignment horizontal="center" vertical="center"/>
      <protection hidden="1"/>
    </xf>
    <xf numFmtId="0" fontId="66" fillId="0" borderId="0" xfId="0" applyFont="1">
      <alignment vertical="center"/>
    </xf>
    <xf numFmtId="177" fontId="68" fillId="2" borderId="30" xfId="0" applyNumberFormat="1" applyFont="1" applyFill="1" applyBorder="1">
      <alignment vertical="center"/>
    </xf>
    <xf numFmtId="177" fontId="68" fillId="8" borderId="30" xfId="0" applyNumberFormat="1" applyFont="1" applyFill="1" applyBorder="1">
      <alignment vertical="center"/>
    </xf>
    <xf numFmtId="177" fontId="68" fillId="9" borderId="30" xfId="0" applyNumberFormat="1" applyFont="1" applyFill="1" applyBorder="1">
      <alignment vertical="center"/>
    </xf>
    <xf numFmtId="177" fontId="68" fillId="3" borderId="30" xfId="0" applyNumberFormat="1" applyFont="1" applyFill="1" applyBorder="1">
      <alignment vertical="center"/>
    </xf>
    <xf numFmtId="0" fontId="68" fillId="2" borderId="30" xfId="0" applyFont="1" applyFill="1" applyBorder="1">
      <alignment vertical="center"/>
    </xf>
    <xf numFmtId="0" fontId="68" fillId="8" borderId="30" xfId="0" applyFont="1" applyFill="1" applyBorder="1">
      <alignment vertical="center"/>
    </xf>
    <xf numFmtId="0" fontId="68" fillId="9" borderId="30" xfId="0" applyFont="1" applyFill="1" applyBorder="1">
      <alignment vertical="center"/>
    </xf>
    <xf numFmtId="0" fontId="68" fillId="3" borderId="30" xfId="0" applyFont="1" applyFill="1" applyBorder="1">
      <alignment vertical="center"/>
    </xf>
    <xf numFmtId="0" fontId="68" fillId="0" borderId="30" xfId="0" applyFont="1" applyBorder="1">
      <alignment vertical="center"/>
    </xf>
    <xf numFmtId="0" fontId="68" fillId="0" borderId="30" xfId="0" applyFont="1" applyBorder="1" applyAlignment="1">
      <alignment horizontal="center" vertical="center"/>
    </xf>
    <xf numFmtId="0" fontId="69" fillId="2" borderId="30" xfId="0" applyFont="1" applyFill="1" applyBorder="1">
      <alignment vertical="center"/>
    </xf>
    <xf numFmtId="0" fontId="68" fillId="0" borderId="34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0" fontId="67" fillId="0" borderId="0" xfId="0" applyFont="1">
      <alignment vertical="center"/>
    </xf>
    <xf numFmtId="0" fontId="49" fillId="0" borderId="16" xfId="1" applyFont="1" applyBorder="1" applyAlignment="1">
      <alignment horizontal="left" vertical="center"/>
    </xf>
    <xf numFmtId="0" fontId="12" fillId="10" borderId="16" xfId="1" applyFont="1" applyFill="1" applyBorder="1" applyAlignment="1">
      <alignment vertical="center"/>
    </xf>
    <xf numFmtId="0" fontId="12" fillId="10" borderId="0" xfId="1" applyFont="1" applyFill="1" applyAlignment="1">
      <alignment horizontal="center" vertical="center"/>
    </xf>
    <xf numFmtId="0" fontId="14" fillId="10" borderId="0" xfId="2" applyFont="1" applyFill="1" applyAlignment="1" applyProtection="1">
      <alignment horizontal="center" vertical="center"/>
      <protection hidden="1"/>
    </xf>
    <xf numFmtId="0" fontId="49" fillId="10" borderId="14" xfId="2" applyFont="1" applyFill="1" applyBorder="1" applyAlignment="1">
      <alignment horizontal="center" vertical="center"/>
    </xf>
    <xf numFmtId="0" fontId="65" fillId="0" borderId="14" xfId="2" applyFont="1" applyBorder="1" applyAlignment="1">
      <alignment horizontal="center" vertical="center"/>
    </xf>
    <xf numFmtId="0" fontId="14" fillId="0" borderId="0" xfId="2" applyFont="1" applyAlignment="1" applyProtection="1">
      <alignment horizontal="center" vertical="center"/>
      <protection hidden="1"/>
    </xf>
    <xf numFmtId="0" fontId="49" fillId="0" borderId="11" xfId="2" applyFont="1" applyBorder="1" applyAlignment="1" applyProtection="1">
      <alignment horizontal="center" vertical="center"/>
      <protection hidden="1"/>
    </xf>
    <xf numFmtId="0" fontId="49" fillId="3" borderId="17" xfId="1" applyFont="1" applyFill="1" applyBorder="1" applyAlignment="1">
      <alignment horizontal="center" vertical="center"/>
    </xf>
    <xf numFmtId="0" fontId="49" fillId="3" borderId="14" xfId="2" applyFont="1" applyFill="1" applyBorder="1" applyAlignment="1">
      <alignment horizontal="center" vertical="center"/>
    </xf>
    <xf numFmtId="0" fontId="49" fillId="3" borderId="52" xfId="0" applyFont="1" applyFill="1" applyBorder="1">
      <alignment vertical="center"/>
    </xf>
    <xf numFmtId="0" fontId="49" fillId="3" borderId="53" xfId="0" applyFont="1" applyFill="1" applyBorder="1">
      <alignment vertical="center"/>
    </xf>
    <xf numFmtId="0" fontId="49" fillId="2" borderId="20" xfId="1" applyFont="1" applyFill="1" applyBorder="1" applyAlignment="1">
      <alignment horizontal="left" vertical="center"/>
    </xf>
    <xf numFmtId="0" fontId="49" fillId="2" borderId="18" xfId="1" applyFont="1" applyFill="1" applyBorder="1" applyAlignment="1">
      <alignment horizontal="center" vertical="center"/>
    </xf>
    <xf numFmtId="0" fontId="65" fillId="2" borderId="18" xfId="2" applyFont="1" applyFill="1" applyBorder="1" applyAlignment="1" applyProtection="1">
      <alignment horizontal="center" vertical="center"/>
      <protection hidden="1"/>
    </xf>
    <xf numFmtId="0" fontId="65" fillId="2" borderId="17" xfId="1" applyFont="1" applyFill="1" applyBorder="1" applyAlignment="1">
      <alignment horizontal="center" vertical="center"/>
    </xf>
    <xf numFmtId="0" fontId="49" fillId="2" borderId="0" xfId="1" applyFont="1" applyFill="1" applyAlignment="1">
      <alignment horizontal="center" vertical="center"/>
    </xf>
    <xf numFmtId="0" fontId="65" fillId="2" borderId="0" xfId="2" applyFont="1" applyFill="1" applyAlignment="1" applyProtection="1">
      <alignment horizontal="center" vertical="center"/>
      <protection hidden="1"/>
    </xf>
    <xf numFmtId="0" fontId="65" fillId="2" borderId="14" xfId="2" applyFont="1" applyFill="1" applyBorder="1" applyAlignment="1">
      <alignment horizontal="center" vertical="center"/>
    </xf>
    <xf numFmtId="0" fontId="70" fillId="2" borderId="14" xfId="2" applyFont="1" applyFill="1" applyBorder="1" applyAlignment="1">
      <alignment horizontal="center" vertical="center"/>
    </xf>
    <xf numFmtId="0" fontId="49" fillId="2" borderId="13" xfId="1" applyFont="1" applyFill="1" applyBorder="1" applyAlignment="1">
      <alignment horizontal="left" vertical="center"/>
    </xf>
    <xf numFmtId="0" fontId="49" fillId="2" borderId="11" xfId="1" applyFont="1" applyFill="1" applyBorder="1" applyAlignment="1">
      <alignment horizontal="center" vertical="center"/>
    </xf>
    <xf numFmtId="0" fontId="49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49" fillId="5" borderId="0" xfId="0" applyFont="1" applyFill="1">
      <alignment vertical="center"/>
    </xf>
    <xf numFmtId="0" fontId="49" fillId="5" borderId="0" xfId="0" applyFont="1" applyFill="1" applyAlignment="1">
      <alignment horizontal="center" vertical="center"/>
    </xf>
    <xf numFmtId="0" fontId="49" fillId="5" borderId="14" xfId="2" applyFont="1" applyFill="1" applyBorder="1" applyAlignment="1">
      <alignment horizontal="center" vertical="center"/>
    </xf>
    <xf numFmtId="0" fontId="49" fillId="0" borderId="0" xfId="1" applyFont="1" applyAlignment="1">
      <alignment horizontal="left" vertical="center"/>
    </xf>
    <xf numFmtId="0" fontId="65" fillId="0" borderId="17" xfId="1" applyFont="1" applyBorder="1" applyAlignment="1">
      <alignment horizontal="center" vertical="center"/>
    </xf>
    <xf numFmtId="0" fontId="49" fillId="11" borderId="16" xfId="0" applyFont="1" applyFill="1" applyBorder="1" applyAlignment="1">
      <alignment horizontal="left" vertical="center"/>
    </xf>
    <xf numFmtId="0" fontId="49" fillId="11" borderId="0" xfId="0" applyFont="1" applyFill="1" applyAlignment="1">
      <alignment horizontal="center" vertical="center"/>
    </xf>
    <xf numFmtId="0" fontId="49" fillId="11" borderId="0" xfId="0" applyFont="1" applyFill="1" applyAlignment="1" applyProtection="1">
      <alignment horizontal="center" vertical="center"/>
      <protection hidden="1"/>
    </xf>
    <xf numFmtId="0" fontId="49" fillId="11" borderId="14" xfId="0" applyFont="1" applyFill="1" applyBorder="1" applyAlignment="1">
      <alignment horizontal="center" vertical="center"/>
    </xf>
    <xf numFmtId="0" fontId="71" fillId="3" borderId="0" xfId="0" applyFont="1" applyFill="1">
      <alignment vertical="center"/>
    </xf>
    <xf numFmtId="0" fontId="65" fillId="3" borderId="0" xfId="2" applyFont="1" applyFill="1" applyAlignment="1" applyProtection="1">
      <alignment horizontal="center" vertical="center"/>
      <protection hidden="1"/>
    </xf>
    <xf numFmtId="0" fontId="70" fillId="0" borderId="14" xfId="2" applyFont="1" applyBorder="1" applyAlignment="1">
      <alignment horizontal="center" vertical="center"/>
    </xf>
    <xf numFmtId="0" fontId="49" fillId="5" borderId="16" xfId="1" applyFont="1" applyFill="1" applyBorder="1" applyAlignment="1">
      <alignment horizontal="left" vertical="center"/>
    </xf>
    <xf numFmtId="0" fontId="12" fillId="0" borderId="54" xfId="1" applyFont="1" applyBorder="1" applyAlignment="1">
      <alignment horizontal="left" vertical="center"/>
    </xf>
    <xf numFmtId="0" fontId="56" fillId="0" borderId="55" xfId="2" applyFont="1" applyBorder="1" applyAlignment="1">
      <alignment horizontal="center" vertical="center"/>
    </xf>
    <xf numFmtId="0" fontId="49" fillId="2" borderId="16" xfId="1" applyFont="1" applyFill="1" applyBorder="1" applyAlignment="1">
      <alignment vertical="center"/>
    </xf>
    <xf numFmtId="0" fontId="49" fillId="2" borderId="0" xfId="2" applyFont="1" applyFill="1" applyAlignment="1" applyProtection="1">
      <alignment horizontal="center" vertical="center"/>
      <protection hidden="1"/>
    </xf>
    <xf numFmtId="0" fontId="49" fillId="2" borderId="14" xfId="2" applyFont="1" applyFill="1" applyBorder="1" applyAlignment="1">
      <alignment horizontal="center" vertical="center"/>
    </xf>
    <xf numFmtId="0" fontId="49" fillId="2" borderId="20" xfId="1" applyFont="1" applyFill="1" applyBorder="1" applyAlignment="1">
      <alignment vertical="center"/>
    </xf>
    <xf numFmtId="0" fontId="49" fillId="2" borderId="18" xfId="2" applyFont="1" applyFill="1" applyBorder="1" applyAlignment="1" applyProtection="1">
      <alignment horizontal="center" vertical="center"/>
      <protection hidden="1"/>
    </xf>
    <xf numFmtId="0" fontId="49" fillId="2" borderId="17" xfId="1" applyFont="1" applyFill="1" applyBorder="1" applyAlignment="1">
      <alignment horizontal="center" vertical="center"/>
    </xf>
    <xf numFmtId="0" fontId="49" fillId="2" borderId="13" xfId="1" applyFont="1" applyFill="1" applyBorder="1" applyAlignment="1">
      <alignment vertical="center"/>
    </xf>
    <xf numFmtId="0" fontId="14" fillId="0" borderId="18" xfId="1" applyFont="1" applyBorder="1" applyAlignment="1" applyProtection="1">
      <alignment horizontal="center" vertical="center"/>
      <protection hidden="1"/>
    </xf>
    <xf numFmtId="0" fontId="51" fillId="0" borderId="11" xfId="1" applyFont="1" applyBorder="1" applyAlignment="1" applyProtection="1">
      <alignment horizontal="center" vertical="center"/>
      <protection hidden="1"/>
    </xf>
    <xf numFmtId="0" fontId="49" fillId="0" borderId="18" xfId="1" applyFont="1" applyBorder="1" applyAlignment="1">
      <alignment horizontal="left" vertical="center"/>
    </xf>
    <xf numFmtId="0" fontId="49" fillId="0" borderId="0" xfId="2" applyFont="1" applyAlignment="1">
      <alignment horizontal="center" vertical="center"/>
    </xf>
    <xf numFmtId="0" fontId="49" fillId="5" borderId="0" xfId="1" applyFont="1" applyFill="1" applyAlignment="1">
      <alignment horizontal="left" vertical="center"/>
    </xf>
    <xf numFmtId="0" fontId="70" fillId="0" borderId="17" xfId="2" applyFont="1" applyBorder="1" applyAlignment="1">
      <alignment horizontal="center" vertical="center"/>
    </xf>
    <xf numFmtId="0" fontId="65" fillId="5" borderId="0" xfId="2" applyFont="1" applyFill="1" applyAlignment="1" applyProtection="1">
      <alignment horizontal="center" vertical="center"/>
      <protection hidden="1"/>
    </xf>
    <xf numFmtId="0" fontId="10" fillId="2" borderId="0" xfId="0" applyFont="1" applyFill="1">
      <alignment vertical="center"/>
    </xf>
    <xf numFmtId="0" fontId="14" fillId="0" borderId="11" xfId="2" applyFont="1" applyBorder="1" applyAlignment="1" applyProtection="1">
      <alignment horizontal="center" vertical="center"/>
      <protection hidden="1"/>
    </xf>
    <xf numFmtId="0" fontId="72" fillId="0" borderId="17" xfId="1" applyFont="1" applyBorder="1" applyAlignment="1">
      <alignment horizontal="center" vertical="center"/>
    </xf>
    <xf numFmtId="0" fontId="49" fillId="0" borderId="11" xfId="1" applyFont="1" applyBorder="1" applyAlignment="1">
      <alignment horizontal="left" vertical="center"/>
    </xf>
    <xf numFmtId="0" fontId="51" fillId="12" borderId="18" xfId="2" applyFont="1" applyFill="1" applyBorder="1" applyAlignment="1" applyProtection="1">
      <alignment horizontal="center" vertical="center"/>
      <protection hidden="1"/>
    </xf>
    <xf numFmtId="0" fontId="65" fillId="12" borderId="0" xfId="2" applyFont="1" applyFill="1" applyAlignment="1" applyProtection="1">
      <alignment horizontal="center" vertical="center"/>
      <protection hidden="1"/>
    </xf>
    <xf numFmtId="0" fontId="49" fillId="12" borderId="16" xfId="1" applyFont="1" applyFill="1" applyBorder="1" applyAlignment="1">
      <alignment horizontal="left" vertical="center"/>
    </xf>
    <xf numFmtId="0" fontId="23" fillId="4" borderId="34" xfId="9" applyFont="1" applyFill="1" applyBorder="1" applyAlignment="1" applyProtection="1">
      <alignment horizontal="center" vertical="center" wrapText="1" shrinkToFit="1"/>
      <protection hidden="1"/>
    </xf>
    <xf numFmtId="0" fontId="23" fillId="4" borderId="33" xfId="9" applyFont="1" applyFill="1" applyBorder="1" applyAlignment="1" applyProtection="1">
      <alignment horizontal="center" vertical="center" wrapText="1" shrinkToFit="1"/>
      <protection hidden="1"/>
    </xf>
    <xf numFmtId="182" fontId="25" fillId="0" borderId="40" xfId="9" applyNumberFormat="1" applyFont="1" applyBorder="1" applyAlignment="1" applyProtection="1">
      <alignment horizontal="center" vertical="center" shrinkToFit="1"/>
      <protection hidden="1"/>
    </xf>
    <xf numFmtId="182" fontId="29" fillId="0" borderId="31" xfId="9" applyNumberFormat="1" applyFont="1" applyBorder="1" applyAlignment="1" applyProtection="1">
      <alignment horizontal="center" vertical="center" shrinkToFit="1"/>
      <protection hidden="1"/>
    </xf>
    <xf numFmtId="0" fontId="25" fillId="0" borderId="34" xfId="9" applyFont="1" applyBorder="1" applyAlignment="1" applyProtection="1">
      <alignment horizontal="center" vertical="center" shrinkToFit="1"/>
      <protection hidden="1"/>
    </xf>
    <xf numFmtId="0" fontId="29" fillId="0" borderId="33" xfId="9" applyFont="1" applyBorder="1" applyAlignment="1" applyProtection="1">
      <alignment horizontal="center" vertical="center" shrinkToFit="1"/>
      <protection hidden="1"/>
    </xf>
    <xf numFmtId="0" fontId="29" fillId="4" borderId="34" xfId="9" applyFont="1" applyFill="1" applyBorder="1" applyAlignment="1" applyProtection="1">
      <alignment horizontal="center" vertical="center" shrinkToFit="1"/>
      <protection hidden="1"/>
    </xf>
    <xf numFmtId="0" fontId="29" fillId="4" borderId="33" xfId="9" applyFont="1" applyFill="1" applyBorder="1" applyAlignment="1" applyProtection="1">
      <alignment horizontal="center" vertical="center" shrinkToFit="1"/>
      <protection hidden="1"/>
    </xf>
    <xf numFmtId="0" fontId="25" fillId="4" borderId="34" xfId="9" applyFont="1" applyFill="1" applyBorder="1" applyAlignment="1" applyProtection="1">
      <alignment horizontal="center" vertical="center" shrinkToFit="1"/>
      <protection hidden="1"/>
    </xf>
    <xf numFmtId="0" fontId="25" fillId="4" borderId="33" xfId="9" applyFont="1" applyFill="1" applyBorder="1" applyAlignment="1" applyProtection="1">
      <alignment horizontal="center" vertical="center" shrinkToFit="1"/>
      <protection hidden="1"/>
    </xf>
    <xf numFmtId="0" fontId="30" fillId="0" borderId="0" xfId="7" applyFont="1" applyAlignment="1">
      <alignment horizontal="center" vertical="center"/>
    </xf>
    <xf numFmtId="0" fontId="33" fillId="4" borderId="0" xfId="8" applyFont="1" applyFill="1" applyAlignment="1">
      <alignment horizontal="center" wrapText="1"/>
    </xf>
    <xf numFmtId="0" fontId="34" fillId="4" borderId="0" xfId="8" applyFont="1" applyFill="1" applyAlignment="1">
      <alignment horizontal="center" wrapText="1"/>
    </xf>
    <xf numFmtId="0" fontId="35" fillId="4" borderId="0" xfId="8" applyFont="1" applyFill="1" applyAlignment="1">
      <alignment horizontal="center" vertical="center" wrapText="1"/>
    </xf>
    <xf numFmtId="0" fontId="36" fillId="4" borderId="0" xfId="8" applyFont="1" applyFill="1" applyAlignment="1">
      <alignment horizontal="center" vertical="center" wrapText="1"/>
    </xf>
    <xf numFmtId="181" fontId="27" fillId="4" borderId="34" xfId="9" applyNumberFormat="1" applyFont="1" applyFill="1" applyBorder="1" applyAlignment="1" applyProtection="1">
      <alignment horizontal="center" vertical="center" shrinkToFit="1"/>
      <protection hidden="1"/>
    </xf>
    <xf numFmtId="181" fontId="27" fillId="4" borderId="33" xfId="9" applyNumberFormat="1" applyFont="1" applyFill="1" applyBorder="1" applyAlignment="1" applyProtection="1">
      <alignment horizontal="center" vertical="center" shrinkToFit="1"/>
      <protection hidden="1"/>
    </xf>
    <xf numFmtId="179" fontId="28" fillId="4" borderId="35" xfId="7" applyNumberFormat="1" applyFont="1" applyFill="1" applyBorder="1" applyAlignment="1" applyProtection="1">
      <alignment horizontal="center" vertical="center" wrapText="1"/>
      <protection hidden="1"/>
    </xf>
    <xf numFmtId="179" fontId="28" fillId="4" borderId="9" xfId="7" applyNumberFormat="1" applyFont="1" applyFill="1" applyBorder="1" applyAlignment="1" applyProtection="1">
      <alignment horizontal="center" vertical="center" wrapText="1"/>
      <protection hidden="1"/>
    </xf>
    <xf numFmtId="0" fontId="27" fillId="4" borderId="34" xfId="9" applyFont="1" applyFill="1" applyBorder="1" applyAlignment="1" applyProtection="1">
      <alignment horizontal="center" vertical="center" shrinkToFit="1"/>
      <protection hidden="1"/>
    </xf>
    <xf numFmtId="0" fontId="27" fillId="4" borderId="33" xfId="9" applyFont="1" applyFill="1" applyBorder="1" applyAlignment="1" applyProtection="1">
      <alignment horizontal="center" vertical="center" shrinkToFit="1"/>
      <protection hidden="1"/>
    </xf>
    <xf numFmtId="0" fontId="35" fillId="4" borderId="11" xfId="8" applyFont="1" applyFill="1" applyBorder="1" applyAlignment="1">
      <alignment horizontal="center" vertical="center" wrapText="1"/>
    </xf>
    <xf numFmtId="180" fontId="46" fillId="0" borderId="37" xfId="1" applyNumberFormat="1" applyFont="1" applyBorder="1" applyAlignment="1">
      <alignment horizontal="center" vertical="center"/>
    </xf>
    <xf numFmtId="180" fontId="46" fillId="0" borderId="44" xfId="1" applyNumberFormat="1" applyFont="1" applyBorder="1" applyAlignment="1">
      <alignment horizontal="center" vertical="center"/>
    </xf>
    <xf numFmtId="0" fontId="46" fillId="0" borderId="38" xfId="1" applyFont="1" applyBorder="1" applyAlignment="1">
      <alignment horizontal="center" vertical="center"/>
    </xf>
    <xf numFmtId="0" fontId="46" fillId="0" borderId="36" xfId="1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78" fontId="47" fillId="0" borderId="23" xfId="1" applyNumberFormat="1" applyFont="1" applyBorder="1" applyAlignment="1">
      <alignment horizontal="center" vertical="center"/>
    </xf>
    <xf numFmtId="178" fontId="47" fillId="0" borderId="45" xfId="1" applyNumberFormat="1" applyFont="1" applyBorder="1" applyAlignment="1">
      <alignment horizontal="center" vertical="center"/>
    </xf>
    <xf numFmtId="178" fontId="47" fillId="0" borderId="4" xfId="1" applyNumberFormat="1" applyFont="1" applyBorder="1" applyAlignment="1">
      <alignment horizontal="center" vertical="center"/>
    </xf>
    <xf numFmtId="178" fontId="47" fillId="0" borderId="24" xfId="1" applyNumberFormat="1" applyFont="1" applyBorder="1" applyAlignment="1">
      <alignment horizontal="center" vertical="center"/>
    </xf>
    <xf numFmtId="0" fontId="46" fillId="0" borderId="37" xfId="1" applyFont="1" applyBorder="1" applyAlignment="1">
      <alignment horizontal="center" vertical="center"/>
    </xf>
    <xf numFmtId="0" fontId="46" fillId="0" borderId="44" xfId="1" applyFont="1" applyBorder="1" applyAlignment="1">
      <alignment horizontal="center" vertical="center"/>
    </xf>
    <xf numFmtId="180" fontId="46" fillId="0" borderId="38" xfId="1" applyNumberFormat="1" applyFont="1" applyBorder="1" applyAlignment="1">
      <alignment horizontal="center" vertical="center"/>
    </xf>
    <xf numFmtId="180" fontId="46" fillId="0" borderId="36" xfId="1" applyNumberFormat="1" applyFont="1" applyBorder="1" applyAlignment="1">
      <alignment horizontal="center" vertical="center"/>
    </xf>
    <xf numFmtId="0" fontId="47" fillId="0" borderId="38" xfId="1" applyFont="1" applyBorder="1" applyAlignment="1">
      <alignment horizontal="center" vertical="center"/>
    </xf>
    <xf numFmtId="0" fontId="47" fillId="0" borderId="36" xfId="1" applyFont="1" applyBorder="1" applyAlignment="1">
      <alignment horizontal="center" vertical="center"/>
    </xf>
    <xf numFmtId="0" fontId="47" fillId="0" borderId="37" xfId="1" applyFont="1" applyBorder="1" applyAlignment="1">
      <alignment horizontal="center" vertical="center"/>
    </xf>
    <xf numFmtId="0" fontId="47" fillId="0" borderId="4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textRotation="255"/>
    </xf>
    <xf numFmtId="0" fontId="9" fillId="0" borderId="16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179" fontId="9" fillId="0" borderId="4" xfId="1" applyNumberFormat="1" applyFont="1" applyBorder="1" applyAlignment="1">
      <alignment horizontal="center" vertical="center"/>
    </xf>
    <xf numFmtId="179" fontId="9" fillId="0" borderId="24" xfId="1" applyNumberFormat="1" applyFont="1" applyBorder="1" applyAlignment="1">
      <alignment horizontal="center" vertical="center"/>
    </xf>
    <xf numFmtId="179" fontId="9" fillId="0" borderId="23" xfId="1" applyNumberFormat="1" applyFont="1" applyBorder="1" applyAlignment="1">
      <alignment horizontal="center" vertical="center"/>
    </xf>
    <xf numFmtId="0" fontId="46" fillId="0" borderId="8" xfId="1" applyFont="1" applyBorder="1" applyAlignment="1">
      <alignment horizontal="center" vertical="center"/>
    </xf>
    <xf numFmtId="0" fontId="46" fillId="0" borderId="21" xfId="1" applyFont="1" applyBorder="1" applyAlignment="1">
      <alignment horizontal="center" vertical="center"/>
    </xf>
    <xf numFmtId="0" fontId="46" fillId="0" borderId="43" xfId="1" applyFont="1" applyBorder="1" applyAlignment="1">
      <alignment horizontal="center" vertical="center"/>
    </xf>
    <xf numFmtId="0" fontId="46" fillId="0" borderId="22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 textRotation="255"/>
    </xf>
    <xf numFmtId="0" fontId="9" fillId="0" borderId="19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177" fontId="9" fillId="0" borderId="8" xfId="1" applyNumberFormat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9" xfId="1" applyFont="1" applyBorder="1" applyAlignment="1">
      <alignment vertical="center" textRotation="255"/>
    </xf>
    <xf numFmtId="0" fontId="9" fillId="0" borderId="15" xfId="1" applyFont="1" applyBorder="1" applyAlignment="1">
      <alignment vertical="center" textRotation="255"/>
    </xf>
    <xf numFmtId="0" fontId="9" fillId="0" borderId="12" xfId="1" applyFont="1" applyBorder="1" applyAlignment="1">
      <alignment vertical="center" textRotation="255"/>
    </xf>
    <xf numFmtId="0" fontId="15" fillId="0" borderId="19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61" fillId="0" borderId="20" xfId="2" applyFont="1" applyBorder="1" applyAlignment="1">
      <alignment horizontal="center" vertical="center" wrapText="1"/>
    </xf>
    <xf numFmtId="0" fontId="61" fillId="0" borderId="16" xfId="2" applyFont="1" applyBorder="1" applyAlignment="1">
      <alignment horizontal="center" vertical="center" wrapText="1"/>
    </xf>
    <xf numFmtId="0" fontId="61" fillId="0" borderId="13" xfId="2" applyFont="1" applyBorder="1" applyAlignment="1">
      <alignment horizontal="center" vertical="center" wrapText="1"/>
    </xf>
    <xf numFmtId="0" fontId="61" fillId="0" borderId="19" xfId="2" applyFont="1" applyBorder="1" applyAlignment="1">
      <alignment horizontal="center" vertical="center" wrapText="1"/>
    </xf>
    <xf numFmtId="0" fontId="61" fillId="0" borderId="15" xfId="2" applyFont="1" applyBorder="1" applyAlignment="1">
      <alignment horizontal="center" vertical="center" wrapText="1"/>
    </xf>
    <xf numFmtId="0" fontId="61" fillId="0" borderId="12" xfId="2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49" fillId="0" borderId="19" xfId="1" applyFont="1" applyBorder="1" applyAlignment="1">
      <alignment horizontal="center" vertical="center" wrapText="1"/>
    </xf>
    <xf numFmtId="0" fontId="49" fillId="0" borderId="15" xfId="1" applyFont="1" applyBorder="1" applyAlignment="1">
      <alignment horizontal="center" vertical="center" wrapText="1"/>
    </xf>
    <xf numFmtId="0" fontId="49" fillId="0" borderId="1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7" fontId="9" fillId="0" borderId="39" xfId="1" applyNumberFormat="1" applyFont="1" applyBorder="1" applyAlignment="1">
      <alignment horizontal="center" vertical="center"/>
    </xf>
    <xf numFmtId="0" fontId="59" fillId="0" borderId="19" xfId="2" applyFont="1" applyBorder="1" applyAlignment="1">
      <alignment horizontal="center" vertical="center" wrapText="1"/>
    </xf>
    <xf numFmtId="0" fontId="59" fillId="0" borderId="15" xfId="2" applyFont="1" applyBorder="1" applyAlignment="1">
      <alignment horizontal="center" vertical="center" wrapText="1"/>
    </xf>
    <xf numFmtId="0" fontId="59" fillId="0" borderId="12" xfId="2" applyFont="1" applyBorder="1" applyAlignment="1">
      <alignment horizontal="center" vertical="center" wrapText="1"/>
    </xf>
    <xf numFmtId="0" fontId="50" fillId="12" borderId="19" xfId="2" applyFont="1" applyFill="1" applyBorder="1" applyAlignment="1">
      <alignment horizontal="center" vertical="center" textRotation="255" wrapText="1"/>
    </xf>
    <xf numFmtId="0" fontId="50" fillId="12" borderId="15" xfId="2" applyFont="1" applyFill="1" applyBorder="1" applyAlignment="1">
      <alignment horizontal="center" vertical="center" textRotation="255" wrapText="1"/>
    </xf>
    <xf numFmtId="0" fontId="50" fillId="12" borderId="12" xfId="2" applyFont="1" applyFill="1" applyBorder="1" applyAlignment="1">
      <alignment horizontal="center" vertical="center" textRotation="255" wrapText="1"/>
    </xf>
    <xf numFmtId="0" fontId="13" fillId="0" borderId="19" xfId="2" applyFont="1" applyBorder="1" applyAlignment="1">
      <alignment horizontal="center" vertical="center" textRotation="255" wrapText="1"/>
    </xf>
    <xf numFmtId="0" fontId="13" fillId="0" borderId="15" xfId="2" applyFont="1" applyBorder="1" applyAlignment="1">
      <alignment horizontal="center" vertical="center" textRotation="255" wrapText="1"/>
    </xf>
    <xf numFmtId="0" fontId="13" fillId="0" borderId="12" xfId="2" applyFont="1" applyBorder="1" applyAlignment="1">
      <alignment horizontal="center" vertical="center" textRotation="255" wrapText="1"/>
    </xf>
    <xf numFmtId="0" fontId="49" fillId="0" borderId="20" xfId="2" applyFont="1" applyBorder="1" applyAlignment="1">
      <alignment horizontal="center" vertical="center" textRotation="255" wrapText="1"/>
    </xf>
    <xf numFmtId="0" fontId="49" fillId="0" borderId="16" xfId="2" applyFont="1" applyBorder="1" applyAlignment="1">
      <alignment horizontal="center" vertical="center" textRotation="255" wrapText="1"/>
    </xf>
    <xf numFmtId="0" fontId="50" fillId="0" borderId="19" xfId="2" applyFont="1" applyBorder="1" applyAlignment="1">
      <alignment horizontal="center" vertical="center" textRotation="255" wrapText="1"/>
    </xf>
    <xf numFmtId="0" fontId="50" fillId="0" borderId="15" xfId="2" applyFont="1" applyBorder="1" applyAlignment="1">
      <alignment horizontal="center" vertical="center" textRotation="255" wrapText="1"/>
    </xf>
    <xf numFmtId="0" fontId="50" fillId="0" borderId="12" xfId="2" applyFont="1" applyBorder="1" applyAlignment="1">
      <alignment horizontal="center" vertical="center" textRotation="255" wrapText="1"/>
    </xf>
    <xf numFmtId="0" fontId="12" fillId="8" borderId="20" xfId="1" applyFont="1" applyFill="1" applyBorder="1" applyAlignment="1">
      <alignment horizontal="center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2" fillId="8" borderId="17" xfId="1" applyFont="1" applyFill="1" applyBorder="1" applyAlignment="1">
      <alignment horizontal="center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2" fillId="8" borderId="0" xfId="1" applyFont="1" applyFill="1" applyAlignment="1">
      <alignment horizontal="center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8" xfId="1" applyFont="1" applyFill="1" applyBorder="1" applyAlignment="1">
      <alignment horizontal="center" vertical="center"/>
    </xf>
    <xf numFmtId="0" fontId="12" fillId="8" borderId="17" xfId="1" applyFont="1" applyFill="1" applyBorder="1" applyAlignment="1">
      <alignment horizontal="center" vertical="center"/>
    </xf>
    <xf numFmtId="0" fontId="12" fillId="8" borderId="16" xfId="1" applyFont="1" applyFill="1" applyBorder="1" applyAlignment="1">
      <alignment horizontal="center" vertical="center"/>
    </xf>
    <xf numFmtId="0" fontId="12" fillId="8" borderId="0" xfId="1" applyFont="1" applyFill="1" applyAlignment="1">
      <alignment horizontal="center" vertical="center"/>
    </xf>
    <xf numFmtId="0" fontId="12" fillId="8" borderId="14" xfId="1" applyFont="1" applyFill="1" applyBorder="1" applyAlignment="1">
      <alignment horizontal="center" vertical="center"/>
    </xf>
    <xf numFmtId="0" fontId="59" fillId="0" borderId="20" xfId="2" applyFont="1" applyBorder="1" applyAlignment="1">
      <alignment horizontal="center" vertical="center" wrapText="1"/>
    </xf>
    <xf numFmtId="0" fontId="59" fillId="0" borderId="16" xfId="2" applyFont="1" applyBorder="1" applyAlignment="1">
      <alignment horizontal="center" vertical="center" wrapText="1"/>
    </xf>
    <xf numFmtId="0" fontId="59" fillId="0" borderId="13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textRotation="255" wrapText="1"/>
    </xf>
    <xf numFmtId="0" fontId="12" fillId="0" borderId="16" xfId="2" applyFont="1" applyBorder="1" applyAlignment="1">
      <alignment horizontal="center" vertical="center" textRotation="255" wrapText="1"/>
    </xf>
    <xf numFmtId="0" fontId="12" fillId="0" borderId="13" xfId="2" applyFont="1" applyBorder="1" applyAlignment="1">
      <alignment horizontal="center" vertical="center" textRotation="255" wrapText="1"/>
    </xf>
    <xf numFmtId="0" fontId="9" fillId="0" borderId="20" xfId="1" applyFont="1" applyBorder="1" applyAlignment="1">
      <alignment horizontal="center" vertical="center" textRotation="255"/>
    </xf>
    <xf numFmtId="0" fontId="9" fillId="0" borderId="13" xfId="1" applyFont="1" applyBorder="1" applyAlignment="1">
      <alignment horizontal="center" vertical="center" textRotation="255"/>
    </xf>
    <xf numFmtId="0" fontId="49" fillId="3" borderId="19" xfId="2" applyFont="1" applyFill="1" applyBorder="1" applyAlignment="1">
      <alignment horizontal="center" vertical="center" textRotation="255" wrapText="1"/>
    </xf>
    <xf numFmtId="0" fontId="49" fillId="3" borderId="15" xfId="2" applyFont="1" applyFill="1" applyBorder="1" applyAlignment="1">
      <alignment horizontal="center" vertical="center" textRotation="255" wrapText="1"/>
    </xf>
    <xf numFmtId="0" fontId="49" fillId="3" borderId="12" xfId="2" applyFont="1" applyFill="1" applyBorder="1" applyAlignment="1">
      <alignment horizontal="center" vertical="center" textRotation="255" wrapText="1"/>
    </xf>
    <xf numFmtId="0" fontId="12" fillId="3" borderId="19" xfId="2" applyFont="1" applyFill="1" applyBorder="1" applyAlignment="1">
      <alignment horizontal="center" vertical="center" textRotation="255" wrapText="1"/>
    </xf>
    <xf numFmtId="0" fontId="12" fillId="3" borderId="15" xfId="2" applyFont="1" applyFill="1" applyBorder="1" applyAlignment="1">
      <alignment horizontal="center" vertical="center" textRotation="255" wrapText="1"/>
    </xf>
    <xf numFmtId="0" fontId="12" fillId="3" borderId="12" xfId="2" applyFont="1" applyFill="1" applyBorder="1" applyAlignment="1">
      <alignment horizontal="center" vertical="center" textRotation="255" wrapText="1"/>
    </xf>
    <xf numFmtId="0" fontId="15" fillId="0" borderId="15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3" fillId="2" borderId="19" xfId="2" applyFont="1" applyFill="1" applyBorder="1" applyAlignment="1">
      <alignment horizontal="center" vertical="center" textRotation="255" wrapText="1"/>
    </xf>
    <xf numFmtId="0" fontId="13" fillId="2" borderId="15" xfId="2" applyFont="1" applyFill="1" applyBorder="1" applyAlignment="1">
      <alignment horizontal="center" vertical="center" textRotation="255" wrapText="1"/>
    </xf>
    <xf numFmtId="0" fontId="13" fillId="2" borderId="12" xfId="2" applyFont="1" applyFill="1" applyBorder="1" applyAlignment="1">
      <alignment horizontal="center" vertical="center" textRotation="255" wrapText="1"/>
    </xf>
    <xf numFmtId="0" fontId="13" fillId="2" borderId="20" xfId="2" applyFont="1" applyFill="1" applyBorder="1" applyAlignment="1">
      <alignment horizontal="center" vertical="center" textRotation="255" wrapText="1"/>
    </xf>
    <xf numFmtId="0" fontId="13" fillId="2" borderId="16" xfId="2" applyFont="1" applyFill="1" applyBorder="1" applyAlignment="1">
      <alignment horizontal="center" vertical="center" textRotation="255" wrapText="1"/>
    </xf>
    <xf numFmtId="0" fontId="50" fillId="2" borderId="19" xfId="2" applyFont="1" applyFill="1" applyBorder="1" applyAlignment="1">
      <alignment horizontal="center" vertical="center" textRotation="255" wrapText="1"/>
    </xf>
    <xf numFmtId="0" fontId="50" fillId="2" borderId="15" xfId="2" applyFont="1" applyFill="1" applyBorder="1" applyAlignment="1">
      <alignment horizontal="center" vertical="center" textRotation="255" wrapText="1"/>
    </xf>
    <xf numFmtId="0" fontId="50" fillId="2" borderId="12" xfId="2" applyFont="1" applyFill="1" applyBorder="1" applyAlignment="1">
      <alignment horizontal="center" vertical="center" textRotation="255" wrapText="1"/>
    </xf>
    <xf numFmtId="0" fontId="9" fillId="0" borderId="19" xfId="1" applyFont="1" applyBorder="1" applyAlignment="1">
      <alignment horizontal="center" vertical="center" textRotation="255"/>
    </xf>
    <xf numFmtId="0" fontId="9" fillId="0" borderId="15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0" fontId="12" fillId="0" borderId="19" xfId="2" applyFont="1" applyBorder="1" applyAlignment="1">
      <alignment horizontal="center" vertical="center" textRotation="255" wrapText="1"/>
    </xf>
    <xf numFmtId="0" fontId="12" fillId="0" borderId="15" xfId="2" applyFont="1" applyBorder="1" applyAlignment="1">
      <alignment horizontal="center" vertical="center" textRotation="255" wrapText="1"/>
    </xf>
    <xf numFmtId="0" fontId="12" fillId="0" borderId="12" xfId="2" applyFont="1" applyBorder="1" applyAlignment="1">
      <alignment horizontal="center" vertical="center" textRotation="255" wrapText="1"/>
    </xf>
    <xf numFmtId="178" fontId="48" fillId="0" borderId="23" xfId="1" applyNumberFormat="1" applyFont="1" applyBorder="1" applyAlignment="1">
      <alignment horizontal="center" vertical="center"/>
    </xf>
    <xf numFmtId="178" fontId="48" fillId="0" borderId="45" xfId="1" applyNumberFormat="1" applyFont="1" applyBorder="1" applyAlignment="1">
      <alignment horizontal="center" vertical="center"/>
    </xf>
    <xf numFmtId="178" fontId="48" fillId="0" borderId="4" xfId="1" applyNumberFormat="1" applyFont="1" applyBorder="1" applyAlignment="1">
      <alignment horizontal="center" vertical="center"/>
    </xf>
    <xf numFmtId="178" fontId="48" fillId="0" borderId="24" xfId="1" applyNumberFormat="1" applyFont="1" applyBorder="1" applyAlignment="1">
      <alignment horizontal="center" vertical="center"/>
    </xf>
    <xf numFmtId="180" fontId="48" fillId="0" borderId="37" xfId="1" applyNumberFormat="1" applyFont="1" applyBorder="1" applyAlignment="1">
      <alignment horizontal="center" vertical="center"/>
    </xf>
    <xf numFmtId="180" fontId="48" fillId="0" borderId="44" xfId="1" applyNumberFormat="1" applyFont="1" applyBorder="1" applyAlignment="1">
      <alignment horizontal="center" vertical="center"/>
    </xf>
    <xf numFmtId="0" fontId="48" fillId="0" borderId="38" xfId="1" applyFont="1" applyBorder="1" applyAlignment="1">
      <alignment horizontal="center" vertical="center"/>
    </xf>
    <xf numFmtId="0" fontId="48" fillId="0" borderId="36" xfId="1" applyFont="1" applyBorder="1" applyAlignment="1">
      <alignment horizontal="center" vertical="center"/>
    </xf>
    <xf numFmtId="0" fontId="48" fillId="0" borderId="37" xfId="1" applyFont="1" applyBorder="1" applyAlignment="1">
      <alignment horizontal="center" vertical="center"/>
    </xf>
    <xf numFmtId="0" fontId="48" fillId="0" borderId="44" xfId="1" applyFont="1" applyBorder="1" applyAlignment="1">
      <alignment horizontal="center" vertical="center"/>
    </xf>
    <xf numFmtId="0" fontId="48" fillId="0" borderId="43" xfId="1" applyFont="1" applyBorder="1" applyAlignment="1">
      <alignment horizontal="center" vertical="center"/>
    </xf>
    <xf numFmtId="0" fontId="48" fillId="0" borderId="22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/>
    </xf>
    <xf numFmtId="0" fontId="48" fillId="0" borderId="21" xfId="1" applyFont="1" applyBorder="1" applyAlignment="1">
      <alignment horizontal="center" vertical="center"/>
    </xf>
    <xf numFmtId="180" fontId="48" fillId="0" borderId="38" xfId="1" applyNumberFormat="1" applyFont="1" applyBorder="1" applyAlignment="1">
      <alignment horizontal="center" vertical="center"/>
    </xf>
    <xf numFmtId="180" fontId="48" fillId="0" borderId="36" xfId="1" applyNumberFormat="1" applyFont="1" applyBorder="1" applyAlignment="1">
      <alignment horizontal="center" vertical="center"/>
    </xf>
    <xf numFmtId="0" fontId="12" fillId="8" borderId="20" xfId="1" applyFont="1" applyFill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3" fillId="0" borderId="20" xfId="2" applyFont="1" applyBorder="1" applyAlignment="1">
      <alignment horizontal="center" vertical="center" textRotation="255" wrapText="1"/>
    </xf>
    <xf numFmtId="0" fontId="13" fillId="0" borderId="16" xfId="2" applyFont="1" applyBorder="1" applyAlignment="1">
      <alignment horizontal="center" vertical="center" textRotation="255" wrapText="1"/>
    </xf>
    <xf numFmtId="0" fontId="13" fillId="0" borderId="13" xfId="2" applyFont="1" applyBorder="1" applyAlignment="1">
      <alignment horizontal="center" vertical="center" textRotation="255" wrapText="1"/>
    </xf>
    <xf numFmtId="0" fontId="12" fillId="0" borderId="0" xfId="1" applyFont="1" applyAlignment="1">
      <alignment horizontal="center" vertical="center"/>
    </xf>
    <xf numFmtId="0" fontId="45" fillId="0" borderId="19" xfId="2" applyFont="1" applyBorder="1" applyAlignment="1">
      <alignment horizontal="center" vertical="center" wrapText="1"/>
    </xf>
    <xf numFmtId="0" fontId="45" fillId="0" borderId="15" xfId="2" applyFont="1" applyBorder="1" applyAlignment="1">
      <alignment horizontal="center" vertical="center" wrapText="1"/>
    </xf>
    <xf numFmtId="0" fontId="45" fillId="0" borderId="12" xfId="2" applyFont="1" applyBorder="1" applyAlignment="1">
      <alignment horizontal="center" vertical="center" wrapText="1"/>
    </xf>
    <xf numFmtId="0" fontId="12" fillId="12" borderId="19" xfId="2" applyFont="1" applyFill="1" applyBorder="1" applyAlignment="1">
      <alignment horizontal="center" vertical="center" textRotation="255" wrapText="1"/>
    </xf>
    <xf numFmtId="0" fontId="12" fillId="12" borderId="15" xfId="2" applyFont="1" applyFill="1" applyBorder="1" applyAlignment="1">
      <alignment horizontal="center" vertical="center" textRotation="255" wrapText="1"/>
    </xf>
    <xf numFmtId="0" fontId="12" fillId="12" borderId="12" xfId="2" applyFont="1" applyFill="1" applyBorder="1" applyAlignment="1">
      <alignment horizontal="center" vertical="center" textRotation="255" wrapText="1"/>
    </xf>
    <xf numFmtId="0" fontId="45" fillId="0" borderId="15" xfId="2" applyFont="1" applyBorder="1" applyAlignment="1">
      <alignment horizontal="center" vertical="center"/>
    </xf>
    <xf numFmtId="0" fontId="45" fillId="0" borderId="12" xfId="2" applyFont="1" applyBorder="1" applyAlignment="1">
      <alignment horizontal="center" vertical="center"/>
    </xf>
    <xf numFmtId="0" fontId="50" fillId="12" borderId="20" xfId="2" applyFont="1" applyFill="1" applyBorder="1" applyAlignment="1">
      <alignment horizontal="center" vertical="center" textRotation="255" wrapText="1"/>
    </xf>
    <xf numFmtId="0" fontId="50" fillId="12" borderId="16" xfId="2" applyFont="1" applyFill="1" applyBorder="1" applyAlignment="1">
      <alignment horizontal="center" vertical="center" textRotation="255" wrapText="1"/>
    </xf>
    <xf numFmtId="0" fontId="50" fillId="12" borderId="13" xfId="2" applyFont="1" applyFill="1" applyBorder="1" applyAlignment="1">
      <alignment horizontal="center" vertical="center" textRotation="255" wrapText="1"/>
    </xf>
    <xf numFmtId="0" fontId="19" fillId="0" borderId="19" xfId="2" applyFont="1" applyBorder="1" applyAlignment="1">
      <alignment horizontal="center" vertical="center" textRotation="255" wrapText="1"/>
    </xf>
    <xf numFmtId="0" fontId="19" fillId="0" borderId="15" xfId="2" applyFont="1" applyBorder="1" applyAlignment="1">
      <alignment horizontal="center" vertical="center" textRotation="255" wrapText="1"/>
    </xf>
    <xf numFmtId="0" fontId="19" fillId="0" borderId="12" xfId="2" applyFont="1" applyBorder="1" applyAlignment="1">
      <alignment horizontal="center" vertical="center" textRotation="255" wrapText="1"/>
    </xf>
    <xf numFmtId="0" fontId="50" fillId="0" borderId="20" xfId="2" applyFont="1" applyBorder="1" applyAlignment="1">
      <alignment horizontal="center" vertical="center" textRotation="255" wrapText="1"/>
    </xf>
    <xf numFmtId="0" fontId="50" fillId="0" borderId="16" xfId="2" applyFont="1" applyBorder="1" applyAlignment="1">
      <alignment horizontal="center" vertical="center" textRotation="255" wrapText="1"/>
    </xf>
    <xf numFmtId="0" fontId="50" fillId="0" borderId="13" xfId="2" applyFont="1" applyBorder="1" applyAlignment="1">
      <alignment horizontal="center" vertical="center" textRotation="255" wrapText="1"/>
    </xf>
    <xf numFmtId="0" fontId="13" fillId="0" borderId="14" xfId="2" applyFont="1" applyBorder="1" applyAlignment="1">
      <alignment horizontal="center" vertical="center" textRotation="255" wrapText="1"/>
    </xf>
    <xf numFmtId="0" fontId="12" fillId="7" borderId="15" xfId="1" applyFont="1" applyFill="1" applyBorder="1" applyAlignment="1">
      <alignment horizontal="center" vertical="center" wrapText="1"/>
    </xf>
    <xf numFmtId="0" fontId="12" fillId="7" borderId="12" xfId="1" applyFont="1" applyFill="1" applyBorder="1" applyAlignment="1">
      <alignment horizontal="center" vertical="center" wrapText="1"/>
    </xf>
    <xf numFmtId="0" fontId="68" fillId="0" borderId="30" xfId="0" applyFont="1" applyBorder="1" applyAlignment="1">
      <alignment horizontal="center" vertical="center"/>
    </xf>
    <xf numFmtId="0" fontId="68" fillId="0" borderId="37" xfId="0" applyFont="1" applyBorder="1" applyAlignment="1">
      <alignment horizontal="center" vertical="center" wrapText="1"/>
    </xf>
    <xf numFmtId="0" fontId="68" fillId="0" borderId="36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0" fontId="67" fillId="0" borderId="50" xfId="0" applyFont="1" applyBorder="1" applyAlignment="1">
      <alignment horizontal="center" vertical="center"/>
    </xf>
    <xf numFmtId="0" fontId="67" fillId="0" borderId="32" xfId="0" applyFont="1" applyBorder="1" applyAlignment="1">
      <alignment horizontal="center" vertical="center"/>
    </xf>
    <xf numFmtId="0" fontId="67" fillId="0" borderId="51" xfId="0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/>
    </xf>
  </cellXfs>
  <cellStyles count="26">
    <cellStyle name="一般" xfId="0" builtinId="0"/>
    <cellStyle name="一般 2" xfId="1"/>
    <cellStyle name="一般 2 2" xfId="12"/>
    <cellStyle name="一般 2 3" xfId="13"/>
    <cellStyle name="一般 2 4" xfId="18"/>
    <cellStyle name="一般 3" xfId="3"/>
    <cellStyle name="一般 3 2" xfId="6"/>
    <cellStyle name="一般 3 3" xfId="19"/>
    <cellStyle name="一般 4" xfId="4"/>
    <cellStyle name="一般 4 2" xfId="14"/>
    <cellStyle name="一般 4 2 2" xfId="21"/>
    <cellStyle name="一般 4 3" xfId="20"/>
    <cellStyle name="一般 5" xfId="5"/>
    <cellStyle name="一般 5 2" xfId="15"/>
    <cellStyle name="一般 5 2 2" xfId="23"/>
    <cellStyle name="一般 5 3" xfId="22"/>
    <cellStyle name="一般 6" xfId="10"/>
    <cellStyle name="一般 6 2" xfId="16"/>
    <cellStyle name="一般 6 2 2" xfId="25"/>
    <cellStyle name="一般 6 3" xfId="24"/>
    <cellStyle name="一般 7" xfId="17"/>
    <cellStyle name="一般_101.11月" xfId="9"/>
    <cellStyle name="一般_101.9月菜單企劃書" xfId="7"/>
    <cellStyle name="一般_Sheet1" xfId="11"/>
    <cellStyle name="一般_光華素食9月" xfId="8"/>
    <cellStyle name="一般_菜單調查表 2" xfId="2"/>
  </cellStyles>
  <dxfs count="0"/>
  <tableStyles count="0" defaultTableStyle="TableStyleMedium2" defaultPivotStyle="PivotStyleLight16"/>
  <colors>
    <mruColors>
      <color rgb="FFFFFFCC"/>
      <color rgb="FFFFE1E1"/>
      <color rgb="FFFFCCCC"/>
      <color rgb="FFE2C5FF"/>
      <color rgb="FFE6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137584</xdr:colOff>
      <xdr:row>0</xdr:row>
      <xdr:rowOff>95250</xdr:rowOff>
    </xdr:from>
    <xdr:ext cx="1206500" cy="402167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D944A37A-7181-4332-A3FB-663A4DB03770}"/>
            </a:ext>
          </a:extLst>
        </xdr:cNvPr>
        <xdr:cNvSpPr txBox="1"/>
      </xdr:nvSpPr>
      <xdr:spPr>
        <a:xfrm>
          <a:off x="137584" y="95250"/>
          <a:ext cx="1206500" cy="40216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lnSpc>
              <a:spcPct val="125000"/>
            </a:lnSpc>
            <a:spcBef>
              <a:spcPts val="0"/>
            </a:spcBef>
            <a:spcAft>
              <a:spcPts val="0"/>
            </a:spcAft>
            <a:buNone/>
          </a:pPr>
          <a:r>
            <a:rPr lang="zh-TW" altLang="en-US" sz="2000" b="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Arial"/>
              <a:sym typeface="Arial"/>
            </a:rPr>
            <a:t>附件</a:t>
          </a:r>
          <a:r>
            <a:rPr lang="en-US" altLang="zh-TW" sz="2000" b="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Arial"/>
              <a:sym typeface="Arial"/>
            </a:rPr>
            <a:t>-</a:t>
          </a:r>
          <a:r>
            <a:rPr lang="en-US" altLang="zh-TW" sz="2000" b="0">
              <a:solidFill>
                <a:schemeClr val="dk1"/>
              </a:solidFill>
              <a:latin typeface="Book Antiqua" panose="02040602050305030304" pitchFamily="18" charset="0"/>
              <a:ea typeface="標楷體" panose="03000509000000000000" pitchFamily="65" charset="-120"/>
              <a:cs typeface="Times New Roman" panose="02020603050405020304" pitchFamily="18" charset="0"/>
              <a:sym typeface="Arial"/>
            </a:rPr>
            <a:t>13</a:t>
          </a:r>
          <a:r>
            <a:rPr lang="en-US" sz="2000" b="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Arial"/>
              <a:sym typeface="Arial"/>
            </a:rPr>
            <a:t> </a:t>
          </a:r>
          <a:endParaRPr sz="1200" b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 fLocksWithSheet="0"/>
  </xdr:oneCellAnchor>
  <xdr:oneCellAnchor>
    <xdr:from>
      <xdr:col>0</xdr:col>
      <xdr:colOff>137584</xdr:colOff>
      <xdr:row>0</xdr:row>
      <xdr:rowOff>95250</xdr:rowOff>
    </xdr:from>
    <xdr:ext cx="1179587" cy="402167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E842596D-3F15-4E8E-8C96-F954CDF19897}"/>
            </a:ext>
          </a:extLst>
        </xdr:cNvPr>
        <xdr:cNvSpPr txBox="1"/>
      </xdr:nvSpPr>
      <xdr:spPr>
        <a:xfrm>
          <a:off x="137584" y="95250"/>
          <a:ext cx="1179587" cy="40216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lnSpc>
              <a:spcPct val="125000"/>
            </a:lnSpc>
            <a:spcBef>
              <a:spcPts val="0"/>
            </a:spcBef>
            <a:spcAft>
              <a:spcPts val="0"/>
            </a:spcAft>
            <a:buNone/>
          </a:pPr>
          <a:r>
            <a:rPr lang="zh-TW" altLang="en-US" sz="2000" b="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Arial"/>
              <a:sym typeface="Arial"/>
            </a:rPr>
            <a:t>附件</a:t>
          </a:r>
          <a:r>
            <a:rPr lang="en-US" altLang="zh-TW" sz="2000" b="0">
              <a:solidFill>
                <a:schemeClr val="dk1"/>
              </a:solidFill>
              <a:latin typeface="Book Antiqua" panose="02040602050305030304" pitchFamily="18" charset="0"/>
              <a:ea typeface="標楷體" panose="03000509000000000000" pitchFamily="65" charset="-120"/>
              <a:cs typeface="Times New Roman" panose="02020603050405020304" pitchFamily="18" charset="0"/>
              <a:sym typeface="Arial"/>
            </a:rPr>
            <a:t>15-2</a:t>
          </a:r>
          <a:r>
            <a:rPr lang="en-US" sz="2000" b="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Arial"/>
              <a:sym typeface="Arial"/>
            </a:rPr>
            <a:t> </a:t>
          </a:r>
          <a:endParaRPr sz="1200" b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 fLocksWithSheet="0"/>
  </xdr:oneCellAnchor>
  <xdr:oneCellAnchor>
    <xdr:from>
      <xdr:col>0</xdr:col>
      <xdr:colOff>137584</xdr:colOff>
      <xdr:row>0</xdr:row>
      <xdr:rowOff>95250</xdr:rowOff>
    </xdr:from>
    <xdr:ext cx="1582359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D3445E4-9CDE-4055-8308-CA05CD50EC12}"/>
            </a:ext>
          </a:extLst>
        </xdr:cNvPr>
        <xdr:cNvSpPr txBox="1"/>
      </xdr:nvSpPr>
      <xdr:spPr>
        <a:xfrm>
          <a:off x="137584" y="95250"/>
          <a:ext cx="1582359" cy="7429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lnSpc>
              <a:spcPct val="125000"/>
            </a:lnSpc>
            <a:spcBef>
              <a:spcPts val="0"/>
            </a:spcBef>
            <a:spcAft>
              <a:spcPts val="0"/>
            </a:spcAft>
            <a:buNone/>
          </a:pPr>
          <a:r>
            <a:rPr lang="zh-TW" altLang="en-US" sz="3600" b="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Arial"/>
              <a:sym typeface="Arial"/>
            </a:rPr>
            <a:t>附件</a:t>
          </a:r>
          <a:r>
            <a:rPr lang="en-US" altLang="zh-TW" sz="3600" b="0">
              <a:solidFill>
                <a:schemeClr val="dk1"/>
              </a:solidFill>
              <a:latin typeface="Book Antiqua" panose="02040602050305030304" pitchFamily="18" charset="0"/>
              <a:ea typeface="標楷體" panose="03000509000000000000" pitchFamily="65" charset="-120"/>
              <a:cs typeface="Times New Roman" panose="02020603050405020304" pitchFamily="18" charset="0"/>
              <a:sym typeface="Arial"/>
            </a:rPr>
            <a:t>15</a:t>
          </a:r>
          <a:endParaRPr sz="3600" b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137584</xdr:colOff>
      <xdr:row>0</xdr:row>
      <xdr:rowOff>95250</xdr:rowOff>
    </xdr:from>
    <xdr:ext cx="1582359" cy="742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A9078EAC-0457-49D7-9E08-ED4814FFF731}"/>
            </a:ext>
          </a:extLst>
        </xdr:cNvPr>
        <xdr:cNvSpPr txBox="1"/>
      </xdr:nvSpPr>
      <xdr:spPr>
        <a:xfrm>
          <a:off x="137584" y="95250"/>
          <a:ext cx="1582359" cy="7429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lnSpc>
              <a:spcPct val="125000"/>
            </a:lnSpc>
            <a:spcBef>
              <a:spcPts val="0"/>
            </a:spcBef>
            <a:spcAft>
              <a:spcPts val="0"/>
            </a:spcAft>
            <a:buNone/>
          </a:pPr>
          <a:r>
            <a:rPr lang="zh-TW" altLang="en-US" sz="3600" b="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Arial"/>
              <a:sym typeface="Arial"/>
            </a:rPr>
            <a:t>附件</a:t>
          </a:r>
          <a:r>
            <a:rPr lang="en-US" altLang="zh-TW" sz="3600" b="0">
              <a:solidFill>
                <a:schemeClr val="dk1"/>
              </a:solidFill>
              <a:latin typeface="Book Antiqua" panose="02040602050305030304" pitchFamily="18" charset="0"/>
              <a:ea typeface="標楷體" panose="03000509000000000000" pitchFamily="65" charset="-120"/>
              <a:cs typeface="Times New Roman" panose="02020603050405020304" pitchFamily="18" charset="0"/>
              <a:sym typeface="Arial"/>
            </a:rPr>
            <a:t>15</a:t>
          </a:r>
          <a:endParaRPr sz="3600" b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zoomScale="70" zoomScaleNormal="70" workbookViewId="0">
      <selection activeCell="C11" sqref="C11:C12"/>
    </sheetView>
  </sheetViews>
  <sheetFormatPr defaultColWidth="9.125" defaultRowHeight="27.75"/>
  <cols>
    <col min="1" max="1" width="7.5" style="16" customWidth="1"/>
    <col min="2" max="2" width="5.5" style="17" customWidth="1"/>
    <col min="3" max="3" width="11.375" style="17" customWidth="1"/>
    <col min="4" max="6" width="43.125" style="17" customWidth="1"/>
    <col min="7" max="8" width="35.75" style="17" customWidth="1"/>
    <col min="9" max="9" width="10.625" style="17" customWidth="1"/>
    <col min="10" max="11" width="13.5" style="24" customWidth="1"/>
    <col min="12" max="18" width="7.75" style="18" customWidth="1"/>
    <col min="19" max="19" width="9.125" style="19" customWidth="1"/>
    <col min="20" max="21" width="9.125" style="19"/>
    <col min="22" max="22" width="9.625" style="19" bestFit="1" customWidth="1"/>
    <col min="23" max="23" width="9.125" style="19"/>
    <col min="24" max="24" width="9.625" style="19" bestFit="1" customWidth="1"/>
    <col min="25" max="16384" width="9.125" style="19"/>
  </cols>
  <sheetData>
    <row r="1" spans="1:18" ht="55.5" customHeight="1">
      <c r="L1" s="18">
        <v>4.5</v>
      </c>
      <c r="M1" s="18">
        <v>2</v>
      </c>
      <c r="N1" s="18">
        <v>1.75</v>
      </c>
      <c r="O1" s="18">
        <v>2.25</v>
      </c>
    </row>
    <row r="2" spans="1:18" s="20" customFormat="1" ht="53.65" customHeight="1">
      <c r="A2" s="484" t="s">
        <v>78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</row>
    <row r="3" spans="1:18" s="20" customFormat="1" ht="50.65" customHeight="1" thickBot="1">
      <c r="A3" s="486" t="s">
        <v>252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</row>
    <row r="4" spans="1:18" ht="192.4" customHeight="1">
      <c r="A4" s="75" t="s">
        <v>31</v>
      </c>
      <c r="B4" s="76" t="s">
        <v>32</v>
      </c>
      <c r="C4" s="77" t="s">
        <v>33</v>
      </c>
      <c r="D4" s="77" t="s">
        <v>40</v>
      </c>
      <c r="E4" s="77" t="s">
        <v>41</v>
      </c>
      <c r="F4" s="77" t="s">
        <v>67</v>
      </c>
      <c r="G4" s="77" t="s">
        <v>68</v>
      </c>
      <c r="H4" s="77" t="s">
        <v>80</v>
      </c>
      <c r="I4" s="77" t="s">
        <v>34</v>
      </c>
      <c r="J4" s="92" t="s">
        <v>65</v>
      </c>
      <c r="K4" s="92" t="s">
        <v>35</v>
      </c>
      <c r="L4" s="78" t="s">
        <v>45</v>
      </c>
      <c r="M4" s="85" t="s">
        <v>46</v>
      </c>
      <c r="N4" s="79" t="s">
        <v>28</v>
      </c>
      <c r="O4" s="79" t="s">
        <v>30</v>
      </c>
      <c r="P4" s="79" t="s">
        <v>29</v>
      </c>
      <c r="Q4" s="79" t="s">
        <v>66</v>
      </c>
      <c r="R4" s="80" t="s">
        <v>36</v>
      </c>
    </row>
    <row r="5" spans="1:18" ht="49.9" customHeight="1">
      <c r="A5" s="475">
        <f>IF(第一週!$G$2=0,"",第一週!$G$2)</f>
        <v>45446</v>
      </c>
      <c r="B5" s="477" t="s">
        <v>22</v>
      </c>
      <c r="C5" s="479" t="str">
        <f>IF(第一週!$G$4=0,"",第一週!$G$4)</f>
        <v>白飯</v>
      </c>
      <c r="D5" s="81" t="str">
        <f>IF(第一週!$G$34=0,"",第一週!$G$34)</f>
        <v>香菇肉燥</v>
      </c>
      <c r="E5" s="81" t="str">
        <f>IF(第一週!$G$49=0,"",第一週!$G$49)</f>
        <v/>
      </c>
      <c r="F5" s="82" t="str">
        <f>IF(第一週!$G$94=0,"",第一週!$G$94)</f>
        <v>關東煮</v>
      </c>
      <c r="G5" s="82" t="str">
        <f>IF(第一週!$G$109=0,"",第一週!$G$109)</f>
        <v>燴大瓜</v>
      </c>
      <c r="H5" s="82" t="str">
        <f>IF(第一週!$G$199=0,"",第一週!$G$199)</f>
        <v>肉骨茶湯</v>
      </c>
      <c r="I5" s="473" t="str">
        <f>IF(第一週!$G$184=0,"",第一週!$G$184)</f>
        <v>清炒時蔬</v>
      </c>
      <c r="J5" s="481" t="str">
        <f>IF(第一週!$G$214=0,"",第一週!$G$214)</f>
        <v>果汁</v>
      </c>
      <c r="K5" s="481" t="str">
        <f>IF(第一週!$G$234=0,"",第一週!$G$234)</f>
        <v/>
      </c>
      <c r="L5" s="488">
        <f>IFERROR(SUMPRODUCT(第一週!$J$4:$J$214,第一週!$AN$4:$AN$214)/第一週!$J$2,"")</f>
        <v>0</v>
      </c>
      <c r="M5" s="488">
        <f>IFERROR(SUMPRODUCT(第一週!$J$4:$J$214,第一週!$AO$4:$AO$214)/第一週!$J$2,"")</f>
        <v>0</v>
      </c>
      <c r="N5" s="488">
        <f>IFERROR(SUMPRODUCT(第一週!$J$4:$J$214,第一週!$AP$4:$AP$214)/第一週!$J$2,"")</f>
        <v>0</v>
      </c>
      <c r="O5" s="488">
        <f>IFERROR(SUMPRODUCT(第一週!$J$4:$J$214,第一週!$AQ$4:$AQ$214)/第一週!$J$2+2.3,"")</f>
        <v>2.2999999999999998</v>
      </c>
      <c r="P5" s="488">
        <f>IFERROR(SUMPRODUCT(第一週!$J$4:$J$214,第一週!$AR$4:$AR$214)/第一週!$J$2,"")</f>
        <v>0</v>
      </c>
      <c r="Q5" s="488">
        <f>IFERROR(SUMPRODUCT(第一週!$J$4:$J$214,第一週!$AS$4:$AS$214)/第一週!$J$2,"")</f>
        <v>0</v>
      </c>
      <c r="R5" s="490">
        <f>IFERROR(L5*70+M5*75+N5*25+O5*45+P5*60+Q5*150,"")</f>
        <v>103.49999999999999</v>
      </c>
    </row>
    <row r="6" spans="1:18" s="22" customFormat="1" ht="25.15" customHeight="1">
      <c r="A6" s="476"/>
      <c r="B6" s="478"/>
      <c r="C6" s="480"/>
      <c r="D6" s="21" t="str">
        <f>_xlfn.CONCAT(IF(IFERROR(FIND("素-",第一週!$H$34),0)=1,"",第一週!$H$34),IF(OR(第一週!$H$35=0,IFERROR(FIND("素-",第一週!$H$35),0)=1),"",","),IF(IFERROR(FIND("素-",第一週!$H$35),0)=1,"",第一週!$H$35),IF(OR(第一週!$H$36=0,IFERROR(FIND("素-",第一週!$H$36),0)=1),"",","),IF(IFERROR(FIND("素-",第一週!$H$36),0)=1,"",第一週!$H$36),IF(OR(第一週!$H$37=0,IFERROR(FIND("素-",第一週!$H$37),0)=1),"",","),IF(IFERROR(FIND("素-",第一週!$H$37),0)=1,"",第一週!$H$37),IF(OR(第一週!$H$38=0,IFERROR(FIND("素-",第一週!$H$38),0)=1),"",","),IF(IFERROR(FIND("素-",第一週!$H$38),0)=1,"",第一週!$H$38),IF(OR(第一週!$H$39=0,IFERROR(FIND("素-",第一週!$H$39),0)=1),"",","),IF(IFERROR(FIND("素-",第一週!$H$39),0)=1,"",第一週!$H$39),IF(OR(第一週!$H$40=0,IFERROR(FIND("素-",第一週!$H$40),0)=1),"",","),IF(IFERROR(FIND("素-",第一週!$H$40),0)=1,"",第一週!$H$40),IF(OR(第一週!$H$41=0,IFERROR(FIND("素-",第一週!$H$41),0)=1),"",","),IF(IFERROR(FIND("素-",第一週!$H$41),0)=1,"",第一週!$H$41),IF(OR(第一週!$H$42=0,IFERROR(FIND("素-",第一週!$H$42),0)=1),"",","),IF(IFERROR(FIND("素-",第一週!$H$42),0)=1,"",第一週!$H$42))</f>
        <v>豬絞肉,乾香菇,碎花瓜,大蒜</v>
      </c>
      <c r="E6" s="21" t="str">
        <f>_xlfn.CONCAT(IF(IFERROR(FIND("素-",第一週!$H$49),0)=1,"",第一週!$H$49),IF(OR(第一週!$H$50=0,IFERROR(FIND("素-",第一週!$H$50),0)=1),"",","),IF(IFERROR(FIND("素-",第一週!$H$50),0)=1,"",第一週!$H$50),IF(OR(第一週!$H$51=0,IFERROR(FIND("素-",第一週!$H$51),0)=1),"",","),IF(IFERROR(FIND("素-",第一週!$H$51),0)=1,"",第一週!$H$51),IF(OR(第一週!$H$52=0,IFERROR(FIND("素-",第一週!$H$52),0)=1),"",","),IF(IFERROR(FIND("素-",第一週!$H$52),0)=1,"",第一週!$H$52),IF(OR(第一週!$H$53=0,IFERROR(FIND("素-",第一週!$H$53),0)=1),"",","),IF(IFERROR(FIND("素-",第一週!$H$53),0)=1,"",第一週!$H$53),IF(OR(第一週!$H$54=0,IFERROR(FIND("素-",第一週!$H$54),0)=1),"",","),IF(IFERROR(FIND("素-",第一週!$H$54),0)=1,"",第一週!$H$54),IF(OR(第一週!$H$55=0,IFERROR(FIND("素-",第一週!$H$55),0)=1),"",","),IF(IFERROR(FIND("素-",第一週!$H$55),0)=1,"",第一週!$H$55))</f>
        <v>安小6/3~6/4：601班校外教學停餐兩天。(-24)
港西學生共減7位：三忠(1)、四忠(4)、五忠(2)</v>
      </c>
      <c r="F6" s="21" t="str">
        <f>_xlfn.CONCAT(IF(IFERROR(FIND("素-",第一週!$H$94),0)=1,"",第一週!$H$94),IF(OR(第一週!$H$95=0,IFERROR(FIND("素-",第一週!$H$95),0)=1),"",","),IF(IFERROR(FIND("素-",第一週!$H$95),0)=1,"",第一週!$H$95),IF(OR(第一週!$H$96=0,IFERROR(FIND("素-",第一週!$H$96),0)=1),"",","),IF(IFERROR(FIND("素-",第一週!$H$96),0)=1,"",第一週!$H$96),IF(OR(第一週!$H$97=0,IFERROR(FIND("素-",第一週!$H$97),0)=1),"",","),IF(IFERROR(FIND("素-",第一週!$H$97),0)=1,"",第一週!$H$97),IF(OR(第一週!$H$98=0,IFERROR(FIND("素-",第一週!$H$98),0)=1),"",","),IF(IFERROR(FIND("素-",第一週!$H$98),0)=1,"",第一週!$H$98),IF(OR(第一週!$H$99=0,IFERROR(FIND("素-",第一週!$H$99),0)=1),"",","),IF(IFERROR(FIND("素-",第一週!$H$99),0)=1,"",第一週!$H$99),IF(OR(第一週!$H$100=0,IFERROR(FIND("素-",第一週!$H$100),0)=1),"",","),IF(IFERROR(FIND("素-",第一週!$H$100),0)=1,"",第一週!$H$100))</f>
        <v>冷凍玉米塊,白蘿蔔,油豆腐,蒟蒻捲,海山醬</v>
      </c>
      <c r="G6" s="21" t="str">
        <f>_xlfn.CONCAT(IF(IFERROR(FIND("素-",第一週!$H$109),0)=1,"",第一週!$H$109),IF(OR(第一週!$H$110=0,IFERROR(FIND("素-",第一週!$H$110),0)=1),"",","),IF(IFERROR(FIND("素-",第一週!$H$110),0)=1,"",第一週!$H$110),IF(OR(第一週!$H$111=0,IFERROR(FIND("素-",第一週!$H$111),0)=1),"",","),IF(IFERROR(FIND("素-",第一週!$H$111),0)=1,"",第一週!$H$111),IF(OR(第一週!$H$112=0,IFERROR(FIND("素-",第一週!$H$112),0)=1),"",","),IF(IFERROR(FIND("素-",第一週!$H$112),0)=1,"",第一週!$H$112),IF(OR(第一週!$H$113=0,IFERROR(FIND("素-",第一週!$H$113),0)=1),"",","),IF(IFERROR(FIND("素-",第一週!$H$113),0)=1,"",第一週!$H$113),IF(OR(第一週!$H$114=0,IFERROR(FIND("素-",第一週!$H$114),0)=1),"",","),IF(IFERROR(FIND("素-",第一週!$H$114),0)=1,"",第一週!$H$114),IF(OR(第一週!$H$115=0,IFERROR(FIND("素-",第一週!$H$115),0)=1),"",","),IF(IFERROR(FIND("素-",第一週!$H$115),0)=1,"",第一週!$H$115))</f>
        <v>大黃瓜,冷凍玉米粒,木耳</v>
      </c>
      <c r="H6" s="21" t="str">
        <f>_xlfn.CONCAT(IF(IFERROR(FIND("素-",第一週!$H$199),0)=1,"",第一週!$H$199),IF(OR(第一週!$H$200=0,IFERROR(FIND("素-",第一週!$H$200),0)=1),"",","),IF(IFERROR(FIND("素-",第一週!$H$200),0)=1,"",第一週!$H$200),IF(OR(第一週!$H$201=0,IFERROR(FIND("素-",第一週!$H$201),0)=1),"",","),IF(IFERROR(FIND("素-",第一週!$H$201),0)=1,"",第一週!$H$201),IF(OR(第一週!$H$202=0,IFERROR(FIND("素-",第一週!$H$202),0)=1),"",","),IF(IFERROR(FIND("素-",第一週!$H$202),0)=1,"",第一週!$H$202),IF(OR(第一週!$H$203=0,IFERROR(FIND("素-",第一週!$H$203),0)=1),"",","),IF(IFERROR(FIND("素-",第一週!$H$203),0)=1,"",第一週!$H$203),IF(OR(第一週!$H$204=0,IFERROR(FIND("素-",第一週!$H$204),0)=1),"",","),IF(IFERROR(FIND("素-",第一週!$H$204),0)=1,"",第一週!$H$204),IF(OR(第一週!$H$205=0,IFERROR(FIND("素-",第一週!$H$205),0)=1),"",","),IF(IFERROR(FIND("素-",第一週!$H$205),0)=1,"",第一週!$H$205),IF(OR(第一週!$H$206=0,IFERROR(FIND("素-",第一週!$H$206),0)=1),"",","),IF(IFERROR(FIND("素-",第一週!$H$206),0)=1,"",第一週!$H$206))</f>
        <v>高麗菜,肉骨茶包,枸杞,豬前腿肉</v>
      </c>
      <c r="I6" s="474"/>
      <c r="J6" s="482"/>
      <c r="K6" s="482"/>
      <c r="L6" s="489"/>
      <c r="M6" s="489"/>
      <c r="N6" s="489"/>
      <c r="O6" s="489"/>
      <c r="P6" s="489"/>
      <c r="Q6" s="489"/>
      <c r="R6" s="491"/>
    </row>
    <row r="7" spans="1:18" ht="49.9" customHeight="1">
      <c r="A7" s="475">
        <f>IF(第一週!$L$2=0,"",第一週!$L$2)</f>
        <v>45447</v>
      </c>
      <c r="B7" s="477" t="s">
        <v>23</v>
      </c>
      <c r="C7" s="479" t="str">
        <f>IF(第一週!$L$4=0,"",第一週!$L$4)</f>
        <v>白飯</v>
      </c>
      <c r="D7" s="81" t="str">
        <f>IF(第一週!$L$34=0,"",第一週!$L$34)</f>
        <v>筍香悶肉</v>
      </c>
      <c r="E7" s="81" t="str">
        <f>IF(第一週!$L$49=0,"",第一週!$L$49)</f>
        <v/>
      </c>
      <c r="F7" s="82" t="str">
        <f>IF(第一週!$L$94=0,"",第一週!$L$94)</f>
        <v>培根高麗菜</v>
      </c>
      <c r="G7" s="82" t="str">
        <f>IF(第一週!$L$109=0,"",第一週!$L$109)</f>
        <v>海結麵輪</v>
      </c>
      <c r="H7" s="82" t="str">
        <f>IF(第一週!$L$199=0,"",第一週!$L$199)</f>
        <v>味噌湯</v>
      </c>
      <c r="I7" s="473" t="str">
        <f>IF(第一週!$L$184=0,"",第一週!$L$184)</f>
        <v>清炒時蔬</v>
      </c>
      <c r="J7" s="481" t="str">
        <f>IF(第一週!$L$214=0,"",第一週!$L$214)</f>
        <v>牛奶</v>
      </c>
      <c r="K7" s="481" t="str">
        <f>IF(第一週!$L$234=0,"",第一週!$L$234)</f>
        <v/>
      </c>
      <c r="L7" s="488">
        <f>IFERROR(SUMPRODUCT(第一週!$O$4:$O$214,第一週!$AV$4:$AV$214)/第一週!$O$2,"")</f>
        <v>0</v>
      </c>
      <c r="M7" s="488">
        <f>IFERROR(SUMPRODUCT(第一週!$O$4:$O$214,第一週!$AW$4:$AW$214)/第一週!$O$2,"")</f>
        <v>0</v>
      </c>
      <c r="N7" s="488">
        <f>IFERROR(SUMPRODUCT(第一週!$O$4:$O$214,第一週!$AX$4:$AX$214)/第一週!$O$2,"")</f>
        <v>0</v>
      </c>
      <c r="O7" s="488">
        <f>IFERROR(SUMPRODUCT(第一週!$O$4:$O$214,第一週!$AY$4:$AY$214)/第一週!$O$2+2.3,"")</f>
        <v>2.2999999999999998</v>
      </c>
      <c r="P7" s="488">
        <f>IFERROR(SUMPRODUCT(第一週!$O$4:$O$214,第一週!$AZ$4:$AZ$214)/第一週!$O$2,"")</f>
        <v>0</v>
      </c>
      <c r="Q7" s="488">
        <f>IFERROR(SUMPRODUCT(第一週!$O$4:$O$214,第一週!$BA$4:$BA$214)/第一週!$O$2,"")</f>
        <v>0</v>
      </c>
      <c r="R7" s="490">
        <f>IFERROR(L7*70+M7*75+N7*25+O7*45+P7*60+Q7*150,"")</f>
        <v>103.49999999999999</v>
      </c>
    </row>
    <row r="8" spans="1:18" s="22" customFormat="1" ht="25.15" customHeight="1">
      <c r="A8" s="476"/>
      <c r="B8" s="478"/>
      <c r="C8" s="480"/>
      <c r="D8" s="21" t="str">
        <f>_xlfn.CONCAT(IF(IFERROR(FIND("素-",第一週!$M$34),0)=1,"",第一週!$M$34),IF(OR(第一週!$M$35=0,IFERROR(FIND("素-",第一週!$M$35),0)=1),"",","),IF(IFERROR(FIND("素-",第一週!$M$35),0)=1,"",第一週!$M$35),IF(OR(第一週!$M$36=0,IFERROR(FIND("素-",第一週!$M$36),0)=1),"",","),IF(IFERROR(FIND("素-",第一週!$M$36),0)=1,"",第一週!$M$36),IF(OR(第一週!$M$37=0,IFERROR(FIND("素-",第一週!$M$37),0)=1),"",","),IF(IFERROR(FIND("素-",第一週!$M$37),0)=1,"",第一週!$M$37),IF(OR(第一週!$M$38=0,IFERROR(FIND("素-",第一週!$M$38),0)=1),"",","),IF(IFERROR(FIND("素-",第一週!$M$38),0)=1,"",第一週!$M$38),IF(OR(第一週!$M$39=0,IFERROR(FIND("素-",第一週!$M$39),0)=1),"",","),IF(IFERROR(FIND("素-",第一週!$M$39),0)=1,"",第一週!$M$39),IF(OR(第一週!$M$40=0,IFERROR(FIND("素-",第一週!$M$40),0)=1),"",","),IF(IFERROR(FIND("素-",第一週!$M$40),0)=1,"",第一週!$M$40),IF(OR(第一週!$M$41=0,IFERROR(FIND("素-",第一週!$M$41),0)=1),"",","),IF(IFERROR(FIND("素-",第一週!$M$41),0)=1,"",第一週!$M$41),IF(OR(第一週!$M$42=0,IFERROR(FIND("素-",第一週!$M$42),0)=1),"",","),IF(IFERROR(FIND("素-",第一週!$M$42),0)=1,"",第一週!$M$42))</f>
        <v>豬前腿肉,筍干,胡蘿蔔,蒜仁,蔥</v>
      </c>
      <c r="E8" s="21" t="str">
        <f>_xlfn.CONCAT(IF(IFERROR(FIND("素-",第一週!$M$49),0)=1,"",第一週!$M$49),IF(OR(第一週!$M$50=0,IFERROR(FIND("素-",第一週!$M$50),0)=1),"",","),IF(IFERROR(FIND("素-",第一週!$M$50),0)=1,"",第一週!$M$50),IF(OR(第一週!$M$51=0,IFERROR(FIND("素-",第一週!$M$51),0)=1),"",","),IF(IFERROR(FIND("素-",第一週!$M$51),0)=1,"",第一週!$M$51),IF(OR(第一週!$M$52=0,IFERROR(FIND("素-",第一週!$M$52),0)=1),"",","),IF(IFERROR(FIND("素-",第一週!$M$52),0)=1,"",第一週!$M$52),IF(OR(第一週!$M$53=0,IFERROR(FIND("素-",第一週!$M$53),0)=1),"",","),IF(IFERROR(FIND("素-",第一週!$M$53),0)=1,"",第一週!$M$53),IF(OR(第一週!$M$54=0,IFERROR(FIND("素-",第一週!$M$54),0)=1),"",","),IF(IFERROR(FIND("素-",第一週!$M$54),0)=1,"",第一週!$M$54),IF(OR(第一週!$M$55=0,IFERROR(FIND("素-",第一週!$M$55),0)=1),"",","),IF(IFERROR(FIND("素-",第一週!$M$55),0)=1,"",第一週!$M$55))</f>
        <v>安小6/3~6/4：601班校外教學停餐兩天。(-24)
港西6/4(二)學生共減12位：二忠（減1）、三忠(減1)、四忠(減4)、五忠(減6)</v>
      </c>
      <c r="F8" s="21" t="e">
        <f>_xlfn.CONCAT(IF(IFERROR(FIND("素-",第一週!$M$94),0)=1,"",第一週!$M$94),IF(OR(第一週!#REF!=0,IFERROR(FIND("素-",第一週!#REF!),0)=1),"",","),IF(IFERROR(FIND("素-",第一週!#REF!),0)=1,"",第一週!#REF!),IF(OR(第一週!$M$96=0,IFERROR(FIND("素-",第一週!$M$96),0)=1),"",","),IF(IFERROR(FIND("素-",第一週!$M$96),0)=1,"",第一週!$M$96),IF(OR(第一週!$M$95=0,IFERROR(FIND("素-",第一週!$M$95),0)=1),"",","),IF(IFERROR(FIND("素-",第一週!$M$95),0)=1,"",第一週!$M$95),IF(OR(第一週!$M$98=0,IFERROR(FIND("素-",第一週!$M$98),0)=1),"",","),IF(IFERROR(FIND("素-",第一週!$M$98),0)=1,"",第一週!$M$98),IF(OR(第一週!$M$99=0,IFERROR(FIND("素-",第一週!$M$99),0)=1),"",","),IF(IFERROR(FIND("素-",第一週!$M$99),0)=1,"",第一週!$M$99),IF(OR(第一週!$M$100=0,IFERROR(FIND("素-",第一週!$M$100),0)=1),"",","),IF(IFERROR(FIND("素-",第一週!$M$100),0)=1,"",第一週!$M$100))</f>
        <v>#REF!</v>
      </c>
      <c r="G8" s="21" t="str">
        <f>_xlfn.CONCAT(IF(IFERROR(FIND("素-",第一週!$M$109),0)=1,"",第一週!$M$109),IF(OR(第一週!$M$110=0,IFERROR(FIND("素-",第一週!$M$110),0)=1),"",","),IF(IFERROR(FIND("素-",第一週!$M$110),0)=1,"",第一週!$M$110),IF(OR(第一週!$M$111=0,IFERROR(FIND("素-",第一週!$M$111),0)=1),"",","),IF(IFERROR(FIND("素-",第一週!$M$111),0)=1,"",第一週!$M$111),IF(OR(第一週!$M$112=0,IFERROR(FIND("素-",第一週!$M$112),0)=1),"",","),IF(IFERROR(FIND("素-",第一週!$M$112),0)=1,"",第一週!$M$112),IF(OR(第一週!$M$113=0,IFERROR(FIND("素-",第一週!$M$113),0)=1),"",","),IF(IFERROR(FIND("素-",第一週!$M$113),0)=1,"",第一週!$M$113),IF(OR(第一週!$M$114=0,IFERROR(FIND("素-",第一週!$M$114),0)=1),"",","),IF(IFERROR(FIND("素-",第一週!$M$114),0)=1,"",第一週!$M$114),IF(OR(第一週!$M$115=0,IFERROR(FIND("素-",第一週!$M$115),0)=1),"",","),IF(IFERROR(FIND("素-",第一週!$M$115),0)=1,"",第一週!$M$115))</f>
        <v>海帶結,乾麵輪,白蘿蔔</v>
      </c>
      <c r="H8" s="21" t="e">
        <f>_xlfn.CONCAT(IF(IFERROR(FIND("素-",第一週!$M$199),0)=1,"",第一週!$M$199),IF(OR(第一週!$M$200=0,IFERROR(FIND("素-",第一週!$M$200),0)=1),"",","),IF(IFERROR(FIND("素-",第一週!$M$200),0)=1,"",第一週!$M$200),IF(OR(第一週!#REF!=0,IFERROR(FIND("素-",第一週!#REF!),0)=1),"",","),IF(IFERROR(FIND("素-",第一週!#REF!),0)=1,"",第一週!#REF!),IF(OR(第一週!$M$201=0,IFERROR(FIND("素-",第一週!$M$201),0)=1),"",","),IF(IFERROR(FIND("素-",第一週!$M$201),0)=1,"",第一週!$M$201),IF(OR(第一週!$M$203=0,IFERROR(FIND("素-",第一週!$M$203),0)=1),"",","),IF(IFERROR(FIND("素-",第一週!$M$203),0)=1,"",第一週!$M$203),IF(OR(第一週!$M$204=0,IFERROR(FIND("素-",第一週!$M$204),0)=1),"",","),IF(IFERROR(FIND("素-",第一週!$M$204),0)=1,"",第一週!$M$204),IF(OR(第一週!$M$205=0,IFERROR(FIND("素-",第一週!$M$205),0)=1),"",","),IF(IFERROR(FIND("素-",第一週!$M$205),0)=1,"",第一週!$M$205),IF(OR(第一週!$M$206=0,IFERROR(FIND("素-",第一週!$M$206),0)=1),"",","),IF(IFERROR(FIND("素-",第一週!$M$206),0)=1,"",第一週!$M$206))</f>
        <v>#REF!</v>
      </c>
      <c r="I8" s="474"/>
      <c r="J8" s="482"/>
      <c r="K8" s="482"/>
      <c r="L8" s="489"/>
      <c r="M8" s="489"/>
      <c r="N8" s="489"/>
      <c r="O8" s="489"/>
      <c r="P8" s="489"/>
      <c r="Q8" s="489"/>
      <c r="R8" s="491"/>
    </row>
    <row r="9" spans="1:18" ht="49.9" customHeight="1">
      <c r="A9" s="475">
        <f>IF(第一週!$Q$2=0,"",第一週!$Q$2)</f>
        <v>45448</v>
      </c>
      <c r="B9" s="477" t="s">
        <v>24</v>
      </c>
      <c r="C9" s="479" t="str">
        <f>IF(第一週!$Q$4=0,"",第一週!$Q$4)</f>
        <v>黃油麵</v>
      </c>
      <c r="D9" s="81" t="str">
        <f>IF(第一週!$Q$34=0,"",第一週!$Q$34)</f>
        <v>玉米肉絲炒麵</v>
      </c>
      <c r="E9" s="81" t="str">
        <f>IF(第一週!$Q$49=0,"",第一週!$Q$49)</f>
        <v>鮮肉包</v>
      </c>
      <c r="F9" s="82" t="str">
        <f>IF(第一週!$Q$94=0,"",第一週!$Q$94)</f>
        <v/>
      </c>
      <c r="G9" s="82" t="str">
        <f>IF(第一週!$Q$109=0,"",第一週!$Q$109)</f>
        <v>開陽冬瓜</v>
      </c>
      <c r="H9" s="82" t="str">
        <f>IF(第一週!$Q$199=0,"",第一週!$Q$199)</f>
        <v>金菇蛋花湯</v>
      </c>
      <c r="I9" s="473" t="str">
        <f>IF(第一週!$Q$184=0,"",第一週!$Q$184)</f>
        <v>清炒時蔬</v>
      </c>
      <c r="J9" s="481" t="str">
        <f>IF(第一週!$Q$214=0,"",第一週!$Q$214)</f>
        <v>水果</v>
      </c>
      <c r="K9" s="481" t="str">
        <f>IF(第一週!$Q$234=0,"",第一週!$Q$234)</f>
        <v/>
      </c>
      <c r="L9" s="488">
        <f>IFERROR(SUMPRODUCT(第一週!$T$4:$T$214,第一週!$BD$4:$BD$214)/第一週!$T$2,"")</f>
        <v>0</v>
      </c>
      <c r="M9" s="488">
        <f>IFERROR(SUMPRODUCT(第一週!$T$4:$T$214,第一週!$BE$4:$BE$214)/第一週!$T$2,"")</f>
        <v>0</v>
      </c>
      <c r="N9" s="488">
        <f>IFERROR(SUMPRODUCT(第一週!$T$4:$T$214,第一週!$BF$4:$BF$214)/第一週!$T$2,"")</f>
        <v>0</v>
      </c>
      <c r="O9" s="488">
        <f>IFERROR(SUMPRODUCT(第一週!$T$4:$T$214,第一週!$BG$4:$BG$214)/第一週!$T$2+2.3,"")</f>
        <v>2.2999999999999998</v>
      </c>
      <c r="P9" s="488">
        <f>IFERROR(SUMPRODUCT(第一週!$T$4:$T$214,第一週!$BH$4:$BH$214)/第一週!$T$2,"")</f>
        <v>0</v>
      </c>
      <c r="Q9" s="488">
        <f>IFERROR(SUMPRODUCT(第一週!$T$4:$T$214,第一週!$BI$4:$BI$214)/第一週!$T$2,"")</f>
        <v>0</v>
      </c>
      <c r="R9" s="490">
        <f>IFERROR(L9*70+M9*75+N9*25+O9*45+P9*60+Q9*150,"")</f>
        <v>103.49999999999999</v>
      </c>
    </row>
    <row r="10" spans="1:18" s="22" customFormat="1" ht="25.15" customHeight="1">
      <c r="A10" s="476"/>
      <c r="B10" s="478"/>
      <c r="C10" s="480"/>
      <c r="D10" s="21" t="str">
        <f>_xlfn.CONCAT(IF(IFERROR(FIND("素-",第一週!$R$34),0)=1,"",第一週!$R$34),IF(OR(第一週!$R$35=0,IFERROR(FIND("素-",第一週!$R$35),0)=1),"",","),IF(IFERROR(FIND("素-",第一週!$R$35),0)=1,"",第一週!$R$35),IF(OR(第一週!$R$36=0,IFERROR(FIND("素-",第一週!$R$36),0)=1),"",","),IF(IFERROR(FIND("素-",第一週!$R$36),0)=1,"",第一週!$R$36),IF(OR(第一週!$R$37=0,IFERROR(FIND("素-",第一週!$R$37),0)=1),"",","),IF(IFERROR(FIND("素-",第一週!$R$37),0)=1,"",第一週!$R$37),IF(OR(第一週!$R$38=0,IFERROR(FIND("素-",第一週!$R$38),0)=1),"",","),IF(IFERROR(FIND("素-",第一週!$R$38),0)=1,"",第一週!$R$38),IF(OR(第一週!$R$39=0,IFERROR(FIND("素-",第一週!$R$39),0)=1),"",","),IF(IFERROR(FIND("素-",第一週!$R$39),0)=1,"",第一週!$R$39),IF(OR(第一週!$R$40=0,IFERROR(FIND("素-",第一週!$R$40),0)=1),"",","),IF(IFERROR(FIND("素-",第一週!$R$40),0)=1,"",第一週!$R$40),IF(OR(第一週!$R$41=0,IFERROR(FIND("素-",第一週!$R$41),0)=1),"",","),IF(IFERROR(FIND("素-",第一週!$R$41),0)=1,"",第一週!$R$41),IF(OR(第一週!$R$42=0,IFERROR(FIND("素-",第一週!$R$42),0)=1),"",","),IF(IFERROR(FIND("素-",第一週!$R$42),0)=1,"",第一週!$R$42))</f>
        <v>冷凍玉米粒,豬前腿肉,雞蛋,洋蔥,高麗菜,青蔥</v>
      </c>
      <c r="E10" s="21" t="str">
        <f>_xlfn.CONCAT(IF(IFERROR(FIND("素-",第一週!$R$49),0)=1,"",第一週!$R$49),IF(OR(第一週!$R$50=0,IFERROR(FIND("素-",第一週!$R$50),0)=1),"",","),IF(IFERROR(FIND("素-",第一週!$R$50),0)=1,"",第一週!$R$50),IF(OR(第一週!$R$51=0,IFERROR(FIND("素-",第一週!$R$51),0)=1),"",","),IF(IFERROR(FIND("素-",第一週!$R$51),0)=1,"",第一週!$R$51),IF(OR(第一週!$R$52=0,IFERROR(FIND("素-",第一週!$R$52),0)=1),"",","),IF(IFERROR(FIND("素-",第一週!$R$52),0)=1,"",第一週!$R$52),IF(OR(第一週!$R$53=0,IFERROR(FIND("素-",第一週!$R$53),0)=1),"",","),IF(IFERROR(FIND("素-",第一週!$R$53),0)=1,"",第一週!$R$53),IF(OR(第一週!$R$54=0,IFERROR(FIND("素-",第一週!$R$54),0)=1),"",","),IF(IFERROR(FIND("素-",第一週!$R$54),0)=1,"",第一週!$R$54),IF(OR(第一週!$R$55=0,IFERROR(FIND("素-",第一週!$R$55),0)=1),"",","),IF(IFERROR(FIND("素-",第一週!$R$55),0)=1,"",第一週!$R$55))</f>
        <v>鮮肉包</v>
      </c>
      <c r="F10" s="21" t="str">
        <f>_xlfn.CONCAT(IF(IFERROR(FIND("素-",第一週!$R$94),0)=1,"",第一週!$R$94),IF(OR(第一週!$R$95=0,IFERROR(FIND("素-",第一週!$R$95),0)=1),"",","),IF(IFERROR(FIND("素-",第一週!$R$95),0)=1,"",第一週!$R$95),IF(OR(第一週!$R$96=0,IFERROR(FIND("素-",第一週!$R$96),0)=1),"",","),IF(IFERROR(FIND("素-",第一週!$R$96),0)=1,"",第一週!$R$96),IF(OR(第一週!$R$97=0,IFERROR(FIND("素-",第一週!$R$97),0)=1),"",","),IF(IFERROR(FIND("素-",第一週!$R$97),0)=1,"",第一週!$R$97),IF(OR(第一週!$R$98=0,IFERROR(FIND("素-",第一週!$R$98),0)=1),"",","),IF(IFERROR(FIND("素-",第一週!$R$98),0)=1,"",第一週!$R$98),IF(OR(第一週!$R$99=0,IFERROR(FIND("素-",第一週!$R$99),0)=1),"",","),IF(IFERROR(FIND("素-",第一週!$R$99),0)=1,"",第一週!$R$99),IF(OR(第一週!$R$100=0,IFERROR(FIND("素-",第一週!$R$100),0)=1),"",","),IF(IFERROR(FIND("素-",第一週!$R$100),0)=1,"",第一週!$R$100))</f>
        <v/>
      </c>
      <c r="G10" s="21" t="str">
        <f>_xlfn.CONCAT(IF(IFERROR(FIND("素-",第一週!$R$109),0)=1,"",第一週!$R$109),IF(OR(第一週!$R$110=0,IFERROR(FIND("素-",第一週!$R$110),0)=1),"",","),IF(IFERROR(FIND("素-",第一週!$R$110),0)=1,"",第一週!$R$110),IF(OR(第一週!$R$111=0,IFERROR(FIND("素-",第一週!$R$111),0)=1),"",","),IF(IFERROR(FIND("素-",第一週!$R$111),0)=1,"",第一週!$R$111),IF(OR(第一週!$R$112=0,IFERROR(FIND("素-",第一週!$R$112),0)=1),"",","),IF(IFERROR(FIND("素-",第一週!$R$112),0)=1,"",第一週!$R$112),IF(OR(第一週!$R$113=0,IFERROR(FIND("素-",第一週!$R$113),0)=1),"",","),IF(IFERROR(FIND("素-",第一週!$R$113),0)=1,"",第一週!$R$113),IF(OR(第一週!$R$114=0,IFERROR(FIND("素-",第一週!$R$114),0)=1),"",","),IF(IFERROR(FIND("素-",第一週!$R$114),0)=1,"",第一週!$R$114),IF(OR(第一週!$R$115=0,IFERROR(FIND("素-",第一週!$R$115),0)=1),"",","),IF(IFERROR(FIND("素-",第一週!$R$115),0)=1,"",第一週!$R$115))</f>
        <v>冬瓜,蝦米,薑絲,貢丸</v>
      </c>
      <c r="H10" s="21" t="str">
        <f>_xlfn.CONCAT(IF(IFERROR(FIND("素-",第一週!$R$199),0)=1,"",第一週!$R$199),IF(OR(第一週!$R$200=0,IFERROR(FIND("素-",第一週!$R$200),0)=1),"",","),IF(IFERROR(FIND("素-",第一週!$R$200),0)=1,"",第一週!$R$200),IF(OR(第一週!$R$201=0,IFERROR(FIND("素-",第一週!$R$201),0)=1),"",","),IF(IFERROR(FIND("素-",第一週!$R$201),0)=1,"",第一週!$R$201),IF(OR(第一週!$R$202=0,IFERROR(FIND("素-",第一週!$R$202),0)=1),"",","),IF(IFERROR(FIND("素-",第一週!$R$202),0)=1,"",第一週!$R$202),IF(OR(第一週!$R$203=0,IFERROR(FIND("素-",第一週!$R$203),0)=1),"",","),IF(IFERROR(FIND("素-",第一週!$R$203),0)=1,"",第一週!$R$203),IF(OR(第一週!$R$204=0,IFERROR(FIND("素-",第一週!$R$204),0)=1),"",","),IF(IFERROR(FIND("素-",第一週!$R$204),0)=1,"",第一週!$R$204),IF(OR(第一週!$R$205=0,IFERROR(FIND("素-",第一週!$R$205),0)=1),"",","),IF(IFERROR(FIND("素-",第一週!$R$205),0)=1,"",第一週!$R$205),IF(OR(第一週!$R$206=0,IFERROR(FIND("素-",第一週!$R$206),0)=1),"",","),IF(IFERROR(FIND("素-",第一週!$R$206),0)=1,"",第一週!$R$206))</f>
        <v>金針菇,雞蛋,大骨</v>
      </c>
      <c r="I10" s="474"/>
      <c r="J10" s="482"/>
      <c r="K10" s="482"/>
      <c r="L10" s="489"/>
      <c r="M10" s="489"/>
      <c r="N10" s="489"/>
      <c r="O10" s="489"/>
      <c r="P10" s="489"/>
      <c r="Q10" s="489"/>
      <c r="R10" s="491"/>
    </row>
    <row r="11" spans="1:18" ht="49.9" customHeight="1">
      <c r="A11" s="475">
        <f>IF(第一週!$V$2=0,"",第一週!$V$2)</f>
        <v>45449</v>
      </c>
      <c r="B11" s="477" t="s">
        <v>25</v>
      </c>
      <c r="C11" s="479" t="str">
        <f>IF(第一週!$V$4=0,"",第一週!$V$4)</f>
        <v>紅藜飯</v>
      </c>
      <c r="D11" s="81" t="str">
        <f>IF(第一週!$V$34=0,"",第一週!$V$34)</f>
        <v>塔香番茄魚丁</v>
      </c>
      <c r="E11" s="81" t="str">
        <f>IF(第一週!$V$49=0,"",第一週!$V$49)</f>
        <v/>
      </c>
      <c r="F11" s="82" t="str">
        <f>IF(第一週!$V$94=0,"",第一週!$V$94)</f>
        <v>雜菜粉絲</v>
      </c>
      <c r="G11" s="82" t="str">
        <f>IF(第一週!$V$109=0,"",第一週!$V$109)</f>
        <v>滷白菜</v>
      </c>
      <c r="H11" s="82" t="str">
        <f>IF(第一週!$V$199=0,"",第一週!$V$199)</f>
        <v>蘿蔔玉米湯</v>
      </c>
      <c r="I11" s="473" t="str">
        <f>IF(第一週!$V$184=0,"",第一週!$V$184)</f>
        <v>清炒時蔬</v>
      </c>
      <c r="J11" s="481" t="str">
        <f>IF(第一週!$V$214=0,"",第一週!$V$214)</f>
        <v>牛奶</v>
      </c>
      <c r="K11" s="481" t="str">
        <f>IF(第一週!$V$234=0,"",第一週!$V$234)</f>
        <v/>
      </c>
      <c r="L11" s="488">
        <f>IFERROR(SUMPRODUCT(第一週!$Y$4:$Y$214,第一週!$BL$4:$BL$214)/第一週!$Y$2,"")</f>
        <v>0</v>
      </c>
      <c r="M11" s="488">
        <f>IFERROR(SUMPRODUCT(第一週!$Y$4:$Y$214,第一週!$BM$4:$BM$214)/第一週!$Y$2,"")</f>
        <v>0</v>
      </c>
      <c r="N11" s="488">
        <f>IFERROR(SUMPRODUCT(第一週!$Y$4:$Y$214,第一週!$BN$4:$BN$214)/第一週!$Y$2,"")</f>
        <v>0</v>
      </c>
      <c r="O11" s="488">
        <f>IFERROR(SUMPRODUCT(第一週!$Y$4:$Y$214,第一週!$BO$4:$BO$214)/第一週!$Y$2+2.3,"")</f>
        <v>2.2999999999999998</v>
      </c>
      <c r="P11" s="488">
        <f>IFERROR(SUMPRODUCT(第一週!$Y$4:$Y$214,第一週!$BP$4:$BP$214)/第一週!$Y$2,"")</f>
        <v>0</v>
      </c>
      <c r="Q11" s="488">
        <f>IFERROR(SUMPRODUCT(第一週!$Y$4:$Y$214,第一週!$BQ$4:$BQ$214)/第一週!$Y$2,"")</f>
        <v>0</v>
      </c>
      <c r="R11" s="490">
        <f>IFERROR(L11*70+M11*75+N11*25+O11*45+P11*60+Q11*150,"")</f>
        <v>103.49999999999999</v>
      </c>
    </row>
    <row r="12" spans="1:18" s="22" customFormat="1" ht="25.15" customHeight="1">
      <c r="A12" s="476"/>
      <c r="B12" s="478"/>
      <c r="C12" s="480"/>
      <c r="D12" s="21" t="str">
        <f>_xlfn.CONCAT(IF(IFERROR(FIND("素-",第一週!$W$34),0)=1,"",第一週!$W$34),IF(OR(第一週!$W$35=0,IFERROR(FIND("素-",第一週!$W$35),0)=1),"",","),IF(IFERROR(FIND("素-",第一週!$W$35),0)=1,"",第一週!$W$35),IF(OR(第一週!$W$36=0,IFERROR(FIND("素-",第一週!$W$36),0)=1),"",","),IF(IFERROR(FIND("素-",第一週!$W$36),0)=1,"",第一週!$W$36),IF(OR(第一週!$W$37=0,IFERROR(FIND("素-",第一週!$W$37),0)=1),"",","),IF(IFERROR(FIND("素-",第一週!$W$37),0)=1,"",第一週!$W$37),IF(OR(第一週!$W$38=0,IFERROR(FIND("素-",第一週!$W$38),0)=1),"",","),IF(IFERROR(FIND("素-",第一週!$W$38),0)=1,"",第一週!$W$38),IF(OR(第一週!$W$39=0,IFERROR(FIND("素-",第一週!$W$39),0)=1),"",","),IF(IFERROR(FIND("素-",第一週!$W$39),0)=1,"",第一週!$W$39),IF(OR(第一週!$W$40=0,IFERROR(FIND("素-",第一週!$W$40),0)=1),"",","),IF(IFERROR(FIND("素-",第一週!$W$40),0)=1,"",第一週!$W$40),IF(OR(第一週!$W$41=0,IFERROR(FIND("素-",第一週!$W$41),0)=1),"",","),IF(IFERROR(FIND("素-",第一週!$W$41),0)=1,"",第一週!$W$41),IF(OR(第一週!$W$42=0,IFERROR(FIND("素-",第一週!$W$42),0)=1),"",","),IF(IFERROR(FIND("素-",第一週!$W$42),0)=1,"",第一週!$W$42))</f>
        <v>水鯊魚,凍豆腐,洋蔥,九層塔,番茄</v>
      </c>
      <c r="E12" s="21" t="str">
        <f>_xlfn.CONCAT(IF(IFERROR(FIND("素-",第一週!$W$49),0)=1,"",第一週!$W$49),IF(OR(第一週!$W$50=0,IFERROR(FIND("素-",第一週!$W$50),0)=1),"",","),IF(IFERROR(FIND("素-",第一週!$W$50),0)=1,"",第一週!$W$50),IF(OR(第一週!$W$51=0,IFERROR(FIND("素-",第一週!$W$51),0)=1),"",","),IF(IFERROR(FIND("素-",第一週!$W$51),0)=1,"",第一週!$W$51),IF(OR(第一週!$W$52=0,IFERROR(FIND("素-",第一週!$W$52),0)=1),"",","),IF(IFERROR(FIND("素-",第一週!$W$52),0)=1,"",第一週!$W$52),IF(OR(第一週!$W$53=0,IFERROR(FIND("素-",第一週!$W$53),0)=1),"",","),IF(IFERROR(FIND("素-",第一週!$W$53),0)=1,"",第一週!$W$53),IF(OR(第一週!$W$54=0,IFERROR(FIND("素-",第一週!$W$54),0)=1),"",","),IF(IFERROR(FIND("素-",第一週!$W$54),0)=1,"",第一週!$W$54),IF(OR(第一週!$W$55=0,IFERROR(FIND("素-",第一週!$W$55),0)=1),"",","),IF(IFERROR(FIND("素-",第一週!$W$55),0)=1,"",第一週!$W$55))</f>
        <v>長樂6/6 獨角仙 全班整天不用餐(-22)
安小602停餐(-24)</v>
      </c>
      <c r="F12" s="21" t="str">
        <f>_xlfn.CONCAT(IF(IFERROR(FIND("素-",第一週!$W$94),0)=1,"",第一週!$W$94),IF(OR(第一週!$W$95=0,IFERROR(FIND("素-",第一週!$W$95),0)=1),"",","),IF(IFERROR(FIND("素-",第一週!$W$95),0)=1,"",第一週!$W$95),IF(OR(第一週!$W$96=0,IFERROR(FIND("素-",第一週!$W$96),0)=1),"",","),IF(IFERROR(FIND("素-",第一週!$W$96),0)=1,"",第一週!$W$96),IF(OR(第一週!$W$97=0,IFERROR(FIND("素-",第一週!$W$97),0)=1),"",","),IF(IFERROR(FIND("素-",第一週!$W$97),0)=1,"",第一週!$W$97),IF(OR(第一週!$W$98=0,IFERROR(FIND("素-",第一週!$W$98),0)=1),"",","),IF(IFERROR(FIND("素-",第一週!$W$98),0)=1,"",第一週!$W$98),IF(OR(第一週!$W$99=0,IFERROR(FIND("素-",第一週!$W$99),0)=1),"",","),IF(IFERROR(FIND("素-",第一週!$W$99),0)=1,"",第一週!$W$99),IF(OR(第一週!$W$100=0,IFERROR(FIND("素-",第一週!$W$100),0)=1),"",","),IF(IFERROR(FIND("素-",第一週!$W$100),0)=1,"",第一週!$W$100))</f>
        <v>冬粉,胡蘿蔔,青江菜,乾香菇,豬絞肉</v>
      </c>
      <c r="G12" s="21" t="str">
        <f>_xlfn.CONCAT(IF(IFERROR(FIND("素-",第一週!$W$109),0)=1,"",第一週!$W$109),IF(OR(第一週!$W$110=0,IFERROR(FIND("素-",第一週!$W$110),0)=1),"",","),IF(IFERROR(FIND("素-",第一週!$W$110),0)=1,"",第一週!$W$110),IF(OR(第一週!$W$111=0,IFERROR(FIND("素-",第一週!$W$111),0)=1),"",","),IF(IFERROR(FIND("素-",第一週!$W$111),0)=1,"",第一週!$W$111),IF(OR(第一週!$W$112=0,IFERROR(FIND("素-",第一週!$W$112),0)=1),"",","),IF(IFERROR(FIND("素-",第一週!$W$112),0)=1,"",第一週!$W$112),IF(OR(第一週!$W$113=0,IFERROR(FIND("素-",第一週!$W$113),0)=1),"",","),IF(IFERROR(FIND("素-",第一週!$W$113),0)=1,"",第一週!$W$113),IF(OR(第一週!$W$114=0,IFERROR(FIND("素-",第一週!$W$114),0)=1),"",","),IF(IFERROR(FIND("素-",第一週!$W$114),0)=1,"",第一週!$W$114),IF(OR(第一週!$W$115=0,IFERROR(FIND("素-",第一週!$W$115),0)=1),"",","),IF(IFERROR(FIND("素-",第一週!$W$115),0)=1,"",第一週!$W$115))</f>
        <v>大白菜,雞蛋,柴魚片,乾香菇絲</v>
      </c>
      <c r="H12" s="21" t="str">
        <f>_xlfn.CONCAT(IF(IFERROR(FIND("素-",第一週!$W$199),0)=1,"",第一週!$W$199),IF(OR(第一週!$W$200=0,IFERROR(FIND("素-",第一週!$W$200),0)=1),"",","),IF(IFERROR(FIND("素-",第一週!$W$200),0)=1,"",第一週!$W$200),IF(OR(第一週!$W$201=0,IFERROR(FIND("素-",第一週!$W$201),0)=1),"",","),IF(IFERROR(FIND("素-",第一週!$W$201),0)=1,"",第一週!$W$201),IF(OR(第一週!$W$202=0,IFERROR(FIND("素-",第一週!$W$202),0)=1),"",","),IF(IFERROR(FIND("素-",第一週!$W$202),0)=1,"",第一週!$W$202),IF(OR(第一週!$W$203=0,IFERROR(FIND("素-",第一週!$W$203),0)=1),"",","),IF(IFERROR(FIND("素-",第一週!$W$203),0)=1,"",第一週!$W$203),IF(OR(第一週!$W$204=0,IFERROR(FIND("素-",第一週!$W$204),0)=1),"",","),IF(IFERROR(FIND("素-",第一週!$W$204),0)=1,"",第一週!$W$204),IF(OR(第一週!$W$205=0,IFERROR(FIND("素-",第一週!$W$205),0)=1),"",","),IF(IFERROR(FIND("素-",第一週!$W$205),0)=1,"",第一週!$W$205),IF(OR(第一週!$W$206=0,IFERROR(FIND("素-",第一週!$W$206),0)=1),"",","),IF(IFERROR(FIND("素-",第一週!$W$206),0)=1,"",第一週!$W$206))</f>
        <v>冷凍玉米,芹菜,白蘿蔔,大骨</v>
      </c>
      <c r="I12" s="474"/>
      <c r="J12" s="482"/>
      <c r="K12" s="482"/>
      <c r="L12" s="489"/>
      <c r="M12" s="489"/>
      <c r="N12" s="489"/>
      <c r="O12" s="489"/>
      <c r="P12" s="489"/>
      <c r="Q12" s="489"/>
      <c r="R12" s="491"/>
    </row>
    <row r="13" spans="1:18" ht="49.9" customHeight="1">
      <c r="A13" s="475">
        <f>IF(第一週!$AA$2=0,"",第一週!$AA$2)</f>
        <v>45450</v>
      </c>
      <c r="B13" s="477" t="s">
        <v>37</v>
      </c>
      <c r="C13" s="479" t="str">
        <f>IF(第一週!$AA$4=0,"",第一週!$AA$4)</f>
        <v>白飯</v>
      </c>
      <c r="D13" s="81" t="str">
        <f>IF(第一週!$AA$34=0,"",第一週!$AA$34)</f>
        <v>滷雞翅</v>
      </c>
      <c r="E13" s="81" t="str">
        <f>IF(第一週!$AA$49=0,"",第一週!$AA$49)</f>
        <v/>
      </c>
      <c r="F13" s="82" t="str">
        <f>IF(第一週!$AA$94=0,"",第一週!$AA$94)</f>
        <v>番茄炒蛋</v>
      </c>
      <c r="G13" s="82" t="str">
        <f>IF(第一週!$AA$109=0,"",第一週!$AA$109)</f>
        <v>鐵板銀芽</v>
      </c>
      <c r="H13" s="82" t="str">
        <f>IF(第一週!$AA$199=0,"",第一週!$AA$199)</f>
        <v>綠豆薏仁湯</v>
      </c>
      <c r="I13" s="473" t="str">
        <f>IF(第一週!$AA$184=0,"",第一週!$AA$184)</f>
        <v>清炒時蔬</v>
      </c>
      <c r="J13" s="481" t="str">
        <f>IF(第一週!$AA$214=0,"",第一週!$AA$214)</f>
        <v>水果</v>
      </c>
      <c r="K13" s="481" t="str">
        <f>IF(第一週!$AA$234=0,"",第一週!$AA$234)</f>
        <v/>
      </c>
      <c r="L13" s="488">
        <f>IFERROR(SUMPRODUCT(第一週!$AD$4:$AD$214,第一週!$BT$4:$BT$214)/第一週!$AD$2,"")</f>
        <v>0</v>
      </c>
      <c r="M13" s="488">
        <f>IFERROR(SUMPRODUCT(第一週!$AD$4:$AD$214,第一週!$BU$4:$BU$214)/第一週!$AD$2,"")</f>
        <v>0</v>
      </c>
      <c r="N13" s="488">
        <f>IFERROR(SUMPRODUCT(第一週!$AD$4:$AD$214,第一週!$BV$4:$BV$214)/第一週!$AD$2,"")</f>
        <v>0</v>
      </c>
      <c r="O13" s="488">
        <f>IFERROR(SUMPRODUCT(第一週!$AD$4:$AD$214,第一週!$BW$4:$BW$214)/第一週!$AD$2+2.3,"")</f>
        <v>2.2999999999999998</v>
      </c>
      <c r="P13" s="488">
        <f>IFERROR(SUMPRODUCT(第一週!$AD$4:$AD$214,第一週!$BX$4:$BX$214)/第一週!$AD$2,"")</f>
        <v>0</v>
      </c>
      <c r="Q13" s="488">
        <f>IFERROR(SUMPRODUCT(第一週!$AD$4:$AD$214,第一週!$BY$4:$BY$214)/第一週!$AD$2,"")</f>
        <v>0</v>
      </c>
      <c r="R13" s="490">
        <f>IFERROR(L13*70+M13*75+N13*25+O13*45+P13*60+Q13*150,"")</f>
        <v>103.49999999999999</v>
      </c>
    </row>
    <row r="14" spans="1:18" s="22" customFormat="1" ht="25.15" customHeight="1">
      <c r="A14" s="476"/>
      <c r="B14" s="478"/>
      <c r="C14" s="480"/>
      <c r="D14" s="21" t="str">
        <f>_xlfn.CONCAT(IF(IFERROR(FIND("素-",第一週!$AB$34),0)=1,"",第一週!$AB$34),IF(OR(第一週!$AB$35=0,IFERROR(FIND("素-",第一週!$AB$35),0)=1),"",","),IF(IFERROR(FIND("素-",第一週!$AB$35),0)=1,"",第一週!$AB$35),IF(OR(第一週!$AB$36=0,IFERROR(FIND("素-",第一週!$AB$36),0)=1),"",","),IF(IFERROR(FIND("素-",第一週!$AB$36),0)=1,"",第一週!$AB$36),IF(OR(第一週!$AB$37=0,IFERROR(FIND("素-",第一週!$AB$37),0)=1),"",","),IF(IFERROR(FIND("素-",第一週!$AB$37),0)=1,"",第一週!$AB$37),IF(OR(第一週!$AB$38=0,IFERROR(FIND("素-",第一週!$AB$38),0)=1),"",","),IF(IFERROR(FIND("素-",第一週!$AB$38),0)=1,"",第一週!$AB$38),IF(OR(第一週!$AB$39=0,IFERROR(FIND("素-",第一週!$AB$39),0)=1),"",","),IF(IFERROR(FIND("素-",第一週!$AB$39),0)=1,"",第一週!$AB$39),IF(OR(第一週!$AB$40=0,IFERROR(FIND("素-",第一週!$AB$40),0)=1),"",","),IF(IFERROR(FIND("素-",第一週!$AB$40),0)=1,"",第一週!$AB$40),IF(OR(第一週!$AB$41=0,IFERROR(FIND("素-",第一週!$AB$41),0)=1),"",","),IF(IFERROR(FIND("素-",第一週!$AB$41),0)=1,"",第一週!$AB$41),IF(OR(第一週!$AB$42=0,IFERROR(FIND("素-",第一週!$AB$42),0)=1),"",","),IF(IFERROR(FIND("素-",第一週!$AB$42),0)=1,"",第一週!$AB$42))</f>
        <v>雞翅,滷包,青蔥,蒜仁,八角</v>
      </c>
      <c r="E14" s="21" t="str">
        <f>_xlfn.CONCAT(IF(IFERROR(FIND("素-",第一週!$AB$49),0)=1,"",第一週!$AB$49),IF(OR(第一週!$AB$50=0,IFERROR(FIND("素-",第一週!$AB$50),0)=1),"",","),IF(IFERROR(FIND("素-",第一週!$AB$50),0)=1,"",第一週!$AB$50),IF(OR(第一週!$AB$51=0,IFERROR(FIND("素-",第一週!$AB$51),0)=1),"",","),IF(IFERROR(FIND("素-",第一週!$AB$51),0)=1,"",第一週!$AB$51),IF(OR(第一週!$AB$52=0,IFERROR(FIND("素-",第一週!$AB$52),0)=1),"",","),IF(IFERROR(FIND("素-",第一週!$AB$52),0)=1,"",第一週!$AB$52),IF(OR(第一週!$AB$53=0,IFERROR(FIND("素-",第一週!$AB$53),0)=1),"",","),IF(IFERROR(FIND("素-",第一週!$AB$53),0)=1,"",第一週!$AB$53),IF(OR(第一週!$AB$54=0,IFERROR(FIND("素-",第一週!$AB$54),0)=1),"",","),IF(IFERROR(FIND("素-",第一週!$AB$54),0)=1,"",第一週!$AB$54),IF(OR(第一週!$AB$55=0,IFERROR(FIND("素-",第一週!$AB$55),0)=1),"",","),IF(IFERROR(FIND("素-",第一週!$AB$55),0)=1,"",第一週!$AB$55))</f>
        <v>安小6/7（星期五）校慶補假，全校停餐。</v>
      </c>
      <c r="F14" s="21" t="str">
        <f>_xlfn.CONCAT(IF(IFERROR(FIND("素-",第一週!$AB$94),0)=1,"",第一週!$AB$94),IF(OR(第一週!$AB$95=0,IFERROR(FIND("素-",第一週!$AB$95),0)=1),"",","),IF(IFERROR(FIND("素-",第一週!$AB$95),0)=1,"",第一週!$AB$95),IF(OR(第一週!$AB$96=0,IFERROR(FIND("素-",第一週!$AB$96),0)=1),"",","),IF(IFERROR(FIND("素-",第一週!$AB$96),0)=1,"",第一週!$AB$96),IF(OR(第一週!$AB$97=0,IFERROR(FIND("素-",第一週!$AB$97),0)=1),"",","),IF(IFERROR(FIND("素-",第一週!$AB$97),0)=1,"",第一週!$AB$97),IF(OR(第一週!$AB$98=0,IFERROR(FIND("素-",第一週!$AB$98),0)=1),"",","),IF(IFERROR(FIND("素-",第一週!$AB$98),0)=1,"",第一週!$AB$98),IF(OR(第一週!$AB$99=0,IFERROR(FIND("素-",第一週!$AB$99),0)=1),"",","),IF(IFERROR(FIND("素-",第一週!$AB$99),0)=1,"",第一週!$AB$99),IF(OR(第一週!$AB$100=0,IFERROR(FIND("素-",第一週!$AB$100),0)=1),"",","),IF(IFERROR(FIND("素-",第一週!$AB$100),0)=1,"",第一週!$AB$100))</f>
        <v>番茄,雞蛋,番茄糊</v>
      </c>
      <c r="G14" s="21" t="str">
        <f>_xlfn.CONCAT(IF(IFERROR(FIND("素-",第一週!$AB$109),0)=1,"",第一週!$AB$109),IF(OR(第一週!$AB$110=0,IFERROR(FIND("素-",第一週!$AB$110),0)=1),"",","),IF(IFERROR(FIND("素-",第一週!$AB$110),0)=1,"",第一週!$AB$110),IF(OR(第一週!$AB$111=0,IFERROR(FIND("素-",第一週!$AB$111),0)=1),"",","),IF(IFERROR(FIND("素-",第一週!$AB$111),0)=1,"",第一週!$AB$111),IF(OR(第一週!$AB$112=0,IFERROR(FIND("素-",第一週!$AB$112),0)=1),"",","),IF(IFERROR(FIND("素-",第一週!$AB$112),0)=1,"",第一週!$AB$112),IF(OR(第一週!$AB$113=0,IFERROR(FIND("素-",第一週!$AB$113),0)=1),"",","),IF(IFERROR(FIND("素-",第一週!$AB$113),0)=1,"",第一週!$AB$113),IF(OR(第一週!$AB$114=0,IFERROR(FIND("素-",第一週!$AB$114),0)=1),"",","),IF(IFERROR(FIND("素-",第一週!$AB$114),0)=1,"",第一週!$AB$114),IF(OR(第一週!$AB$115=0,IFERROR(FIND("素-",第一週!$AB$115),0)=1),"",","),IF(IFERROR(FIND("素-",第一週!$AB$115),0)=1,"",第一週!$AB$115))</f>
        <v>綠豆芽,胡蘿蔔,大蒜,木耳</v>
      </c>
      <c r="H14" s="21" t="str">
        <f>_xlfn.CONCAT(IF(IFERROR(FIND("素-",第一週!$AB$199),0)=1,"",第一週!$AB$199),IF(OR(第一週!$AB$200=0,IFERROR(FIND("素-",第一週!$AB$200),0)=1),"",","),IF(IFERROR(FIND("素-",第一週!$AB$200),0)=1,"",第一週!$AB$200),IF(OR(第一週!$AB$201=0,IFERROR(FIND("素-",第一週!$AB$201),0)=1),"",","),IF(IFERROR(FIND("素-",第一週!$AB$201),0)=1,"",第一週!$AB$201),IF(OR(第一週!$AB$202=0,IFERROR(FIND("素-",第一週!$AB$202),0)=1),"",","),IF(IFERROR(FIND("素-",第一週!$AB$202),0)=1,"",第一週!$AB$202),IF(OR(第一週!$AB$203=0,IFERROR(FIND("素-",第一週!$AB$203),0)=1),"",","),IF(IFERROR(FIND("素-",第一週!$AB$203),0)=1,"",第一週!$AB$203),IF(OR(第一週!$AB$204=0,IFERROR(FIND("素-",第一週!$AB$204),0)=1),"",","),IF(IFERROR(FIND("素-",第一週!$AB$204),0)=1,"",第一週!$AB$204),IF(OR(第一週!$AB$205=0,IFERROR(FIND("素-",第一週!$AB$205),0)=1),"",","),IF(IFERROR(FIND("素-",第一週!$AB$205),0)=1,"",第一週!$AB$205),IF(OR(第一週!$AB$206=0,IFERROR(FIND("素-",第一週!$AB$206),0)=1),"",","),IF(IFERROR(FIND("素-",第一週!$AB$206),0)=1,"",第一週!$AB$206))</f>
        <v>小薏仁,綠豆,二砂糖</v>
      </c>
      <c r="I14" s="474"/>
      <c r="J14" s="482"/>
      <c r="K14" s="482"/>
      <c r="L14" s="489"/>
      <c r="M14" s="489"/>
      <c r="N14" s="489"/>
      <c r="O14" s="489"/>
      <c r="P14" s="489"/>
      <c r="Q14" s="489"/>
      <c r="R14" s="491"/>
    </row>
    <row r="15" spans="1:18" ht="49.9" customHeight="1">
      <c r="A15" s="475">
        <f>IF(第一週!$AF$2=0,"",第一週!$AF$2)</f>
        <v>45451</v>
      </c>
      <c r="B15" s="477" t="s">
        <v>38</v>
      </c>
      <c r="C15" s="479" t="str">
        <f>IF(第一週!$AF$4=0,"",第一週!$AF$4)</f>
        <v>五穀飯</v>
      </c>
      <c r="D15" s="81" t="str">
        <f>IF(第一週!$AF$34=0,"",第一週!$AF$34)</f>
        <v/>
      </c>
      <c r="E15" s="81" t="str">
        <f>IF(第一週!$AF$49=0,"",第一週!$AF$49)</f>
        <v/>
      </c>
      <c r="F15" s="82" t="str">
        <f>IF(第一週!$AF$94=0,"",第一週!$AF$94)</f>
        <v/>
      </c>
      <c r="G15" s="82" t="str">
        <f>IF(第一週!$AF$109=0,"",第一週!$AF$109)</f>
        <v/>
      </c>
      <c r="H15" s="82" t="str">
        <f>IF(第一週!$AF$199=0,"",第一週!$AF$199)</f>
        <v/>
      </c>
      <c r="I15" s="473" t="str">
        <f>IF(第一週!$AF$184=0,"",第一週!$AF$184)</f>
        <v>清炒時蔬</v>
      </c>
      <c r="J15" s="481" t="str">
        <f>IF(第一週!$AF$214=0,"",第一週!$AF$214)</f>
        <v/>
      </c>
      <c r="K15" s="481" t="str">
        <f>IF(第一週!$AF$234=0,"",第一週!$AF$234)</f>
        <v/>
      </c>
      <c r="L15" s="488" t="str">
        <f>IFERROR(SUMPRODUCT(第一週!$AI$4:$AI$214,第一週!$CB$4:$CB$214)/第一週!$AI$2,"")</f>
        <v/>
      </c>
      <c r="M15" s="488" t="str">
        <f>IFERROR(SUMPRODUCT(第一週!$AI$4:$AI$214,第一週!$CC$4:$CC$214)/第一週!$AI$2,"")</f>
        <v/>
      </c>
      <c r="N15" s="488" t="str">
        <f>IFERROR(SUMPRODUCT(第一週!$AI$4:$AI$214,第一週!$CD$4:$CD$214)/第一週!$AI$2,"")</f>
        <v/>
      </c>
      <c r="O15" s="488" t="str">
        <f>IFERROR(SUMPRODUCT(第一週!$AI$4:$AI$214,第一週!$CE$4:$CE$214)/第一週!$AI$2+2.3,"")</f>
        <v/>
      </c>
      <c r="P15" s="488" t="str">
        <f>IFERROR(SUMPRODUCT(第一週!$AI$4:$AI$214,第一週!$CF$4:$CF$214)/第一週!$AI$2,"")</f>
        <v/>
      </c>
      <c r="Q15" s="488" t="str">
        <f>IFERROR(SUMPRODUCT(第一週!$AI$4:$AI$214,第一週!$CG$4:$CG$214)/第一週!$AI$2,"")</f>
        <v/>
      </c>
      <c r="R15" s="490" t="str">
        <f>IFERROR(L15*70+M15*75+N15*25+O15*45+P15*60+Q15*150,"")</f>
        <v/>
      </c>
    </row>
    <row r="16" spans="1:18" s="22" customFormat="1" ht="25.15" customHeight="1">
      <c r="A16" s="476"/>
      <c r="B16" s="478"/>
      <c r="C16" s="480"/>
      <c r="D16" s="21" t="str">
        <f>_xlfn.CONCAT(IF(IFERROR(FIND("素-",第一週!$AG$34),0)=1,"",第一週!$AG$34),IF(OR(第一週!$AG$35=0,IFERROR(FIND("素-",第一週!$AG$35),0)=1),"",","),IF(IFERROR(FIND("素-",第一週!$AG$35),0)=1,"",第一週!$AG$35),IF(OR(第一週!$AG$36=0,IFERROR(FIND("素-",第一週!$AG$36),0)=1),"",","),IF(IFERROR(FIND("素-",第一週!$AG$36),0)=1,"",第一週!$AG$36),IF(OR(第一週!$AG$37=0,IFERROR(FIND("素-",第一週!$AG$37),0)=1),"",","),IF(IFERROR(FIND("素-",第一週!$AG$37),0)=1,"",第一週!$AG$37),IF(OR(第一週!$AG$38=0,IFERROR(FIND("素-",第一週!$AG$38),0)=1),"",","),IF(IFERROR(FIND("素-",第一週!$AG$38),0)=1,"",第一週!$AG$38),IF(OR(第一週!$AG$39=0,IFERROR(FIND("素-",第一週!$AG$39),0)=1),"",","),IF(IFERROR(FIND("素-",第一週!$AG$39),0)=1,"",第一週!$AG$39),IF(OR(第一週!$AG$40=0,IFERROR(FIND("素-",第一週!$AG$40),0)=1),"",","),IF(IFERROR(FIND("素-",第一週!$AG$40),0)=1,"",第一週!$AG$40),IF(OR(第一週!$AG$41=0,IFERROR(FIND("素-",第一週!$AG$41),0)=1),"",","),IF(IFERROR(FIND("素-",第一週!$AG$41),0)=1,"",第一週!$AG$41),IF(OR(第一週!$AG$42=0,IFERROR(FIND("素-",第一週!$AG$42),0)=1),"",","),IF(IFERROR(FIND("素-",第一週!$AG$42),0)=1,"",第一週!$AG$42))</f>
        <v/>
      </c>
      <c r="E16" s="21" t="str">
        <f>_xlfn.CONCAT(IF(IFERROR(FIND("素-",第一週!$AG$49),0)=1,"",第一週!$AG$49),IF(OR(第一週!$AG$50=0,IFERROR(FIND("素-",第一週!$AG$50),0)=1),"",","),IF(IFERROR(FIND("素-",第一週!$AG$50),0)=1,"",第一週!$AG$50),IF(OR(第一週!$AG$51=0,IFERROR(FIND("素-",第一週!$AG$51),0)=1),"",","),IF(IFERROR(FIND("素-",第一週!$AG$51),0)=1,"",第一週!$AG$51),IF(OR(第一週!$AG$52=0,IFERROR(FIND("素-",第一週!$AG$52),0)=1),"",","),IF(IFERROR(FIND("素-",第一週!$AG$52),0)=1,"",第一週!$AG$52),IF(OR(第一週!$AG$53=0,IFERROR(FIND("素-",第一週!$AG$53),0)=1),"",","),IF(IFERROR(FIND("素-",第一週!$AG$53),0)=1,"",第一週!$AG$53),IF(OR(第一週!$AG$54=0,IFERROR(FIND("素-",第一週!$AG$54),0)=1),"",","),IF(IFERROR(FIND("素-",第一週!$AG$54),0)=1,"",第一週!$AG$54),IF(OR(第一週!$AG$55=0,IFERROR(FIND("素-",第一週!$AG$55),0)=1),"",","),IF(IFERROR(FIND("素-",第一週!$AG$55),0)=1,"",第一週!$AG$55))</f>
        <v/>
      </c>
      <c r="F16" s="21" t="str">
        <f>_xlfn.CONCAT(IF(IFERROR(FIND("素-",第一週!$AG$94),0)=1,"",第一週!$AG$94),IF(OR(第一週!$AG$95=0,IFERROR(FIND("素-",第一週!$AG$95),0)=1),"",","),IF(IFERROR(FIND("素-",第一週!$AG$95),0)=1,"",第一週!$AG$95),IF(OR(第一週!$AG$96=0,IFERROR(FIND("素-",第一週!$AG$96),0)=1),"",","),IF(IFERROR(FIND("素-",第一週!$AG$96),0)=1,"",第一週!$AG$96),IF(OR(第一週!$AG$97=0,IFERROR(FIND("素-",第一週!$AG$97),0)=1),"",","),IF(IFERROR(FIND("素-",第一週!$AG$97),0)=1,"",第一週!$AG$97),IF(OR(第一週!$AG$98=0,IFERROR(FIND("素-",第一週!$AG$98),0)=1),"",","),IF(IFERROR(FIND("素-",第一週!$AG$98),0)=1,"",第一週!$AG$98),IF(OR(第一週!$AG$99=0,IFERROR(FIND("素-",第一週!$AG$99),0)=1),"",","),IF(IFERROR(FIND("素-",第一週!$AG$99),0)=1,"",第一週!$AG$99),IF(OR(第一週!$AG$100=0,IFERROR(FIND("素-",第一週!$AG$100),0)=1),"",","),IF(IFERROR(FIND("素-",第一週!$AG$100),0)=1,"",第一週!$AG$100))</f>
        <v/>
      </c>
      <c r="G16" s="21" t="str">
        <f>_xlfn.CONCAT(IF(IFERROR(FIND("素-",第一週!$AG$109),0)=1,"",第一週!$AG$109),IF(OR(第一週!$AG$110=0,IFERROR(FIND("素-",第一週!$AG$110),0)=1),"",","),IF(IFERROR(FIND("素-",第一週!$AG$110),0)=1,"",第一週!$AG$110),IF(OR(第一週!$AG$111=0,IFERROR(FIND("素-",第一週!$AG$111),0)=1),"",","),IF(IFERROR(FIND("素-",第一週!$AG$111),0)=1,"",第一週!$AG$111),IF(OR(第一週!$AG$112=0,IFERROR(FIND("素-",第一週!$AG$112),0)=1),"",","),IF(IFERROR(FIND("素-",第一週!$AG$112),0)=1,"",第一週!$AG$112),IF(OR(第一週!$AG$113=0,IFERROR(FIND("素-",第一週!$AG$113),0)=1),"",","),IF(IFERROR(FIND("素-",第一週!$AG$113),0)=1,"",第一週!$AG$113),IF(OR(第一週!$AG$114=0,IFERROR(FIND("素-",第一週!$AG$114),0)=1),"",","),IF(IFERROR(FIND("素-",第一週!$AG$114),0)=1,"",第一週!$AG$114),IF(OR(第一週!$AG$115=0,IFERROR(FIND("素-",第一週!$AG$115),0)=1),"",","),IF(IFERROR(FIND("素-",第一週!$AG$115),0)=1,"",第一週!$AG$115))</f>
        <v/>
      </c>
      <c r="H16" s="21" t="str">
        <f>_xlfn.CONCAT(IF(IFERROR(FIND("素-",第一週!$AG$199),0)=1,"",第一週!$AG$199),IF(OR(第一週!$AG$200=0,IFERROR(FIND("素-",第一週!$AG$200),0)=1),"",","),IF(IFERROR(FIND("素-",第一週!$AG$200),0)=1,"",第一週!$AG$200),IF(OR(第一週!$AG$201=0,IFERROR(FIND("素-",第一週!$AG$201),0)=1),"",","),IF(IFERROR(FIND("素-",第一週!$AG$201),0)=1,"",第一週!$AG$201),IF(OR(第一週!$AG$202=0,IFERROR(FIND("素-",第一週!$AG$202),0)=1),"",","),IF(IFERROR(FIND("素-",第一週!$AG$202),0)=1,"",第一週!$AG$202),IF(OR(第一週!$AG$203=0,IFERROR(FIND("素-",第一週!$AG$203),0)=1),"",","),IF(IFERROR(FIND("素-",第一週!$AG$203),0)=1,"",第一週!$AG$203),IF(OR(第一週!$AG$204=0,IFERROR(FIND("素-",第一週!$AG$204),0)=1),"",","),IF(IFERROR(FIND("素-",第一週!$AG$204),0)=1,"",第一週!$AG$204),IF(OR(第一週!$AG$205=0,IFERROR(FIND("素-",第一週!$AG$205),0)=1),"",","),IF(IFERROR(FIND("素-",第一週!$AG$205),0)=1,"",第一週!$AG$205),IF(OR(第一週!$AG$206=0,IFERROR(FIND("素-",第一週!$AG$206),0)=1),"",","),IF(IFERROR(FIND("素-",第一週!$AG$206),0)=1,"",第一週!$AG$206))</f>
        <v/>
      </c>
      <c r="I16" s="474"/>
      <c r="J16" s="482"/>
      <c r="K16" s="482"/>
      <c r="L16" s="489"/>
      <c r="M16" s="489"/>
      <c r="N16" s="489"/>
      <c r="O16" s="489"/>
      <c r="P16" s="489"/>
      <c r="Q16" s="489"/>
      <c r="R16" s="491"/>
    </row>
    <row r="17" spans="1:18" ht="49.9" customHeight="1">
      <c r="A17" s="475"/>
      <c r="B17" s="477" t="s">
        <v>39</v>
      </c>
      <c r="C17" s="479"/>
      <c r="D17" s="81"/>
      <c r="E17" s="83"/>
      <c r="F17" s="84"/>
      <c r="G17" s="81"/>
      <c r="H17" s="81"/>
      <c r="I17" s="473"/>
      <c r="J17" s="481"/>
      <c r="K17" s="481"/>
      <c r="L17" s="492"/>
      <c r="M17" s="492"/>
      <c r="N17" s="492"/>
      <c r="O17" s="492"/>
      <c r="P17" s="492"/>
      <c r="Q17" s="492"/>
      <c r="R17" s="490"/>
    </row>
    <row r="18" spans="1:18" s="22" customFormat="1" ht="25.15" customHeight="1">
      <c r="A18" s="476"/>
      <c r="B18" s="478"/>
      <c r="C18" s="480"/>
      <c r="D18" s="21"/>
      <c r="E18" s="21"/>
      <c r="F18" s="21"/>
      <c r="G18" s="21"/>
      <c r="H18" s="21"/>
      <c r="I18" s="474"/>
      <c r="J18" s="482"/>
      <c r="K18" s="482"/>
      <c r="L18" s="493"/>
      <c r="M18" s="493"/>
      <c r="N18" s="493"/>
      <c r="O18" s="493"/>
      <c r="P18" s="493"/>
      <c r="Q18" s="493"/>
      <c r="R18" s="491"/>
    </row>
    <row r="19" spans="1:18" ht="49.9" customHeight="1">
      <c r="A19" s="475">
        <f>IF(第二週!$G$2=0,"",第二週!$G$2)</f>
        <v>45453</v>
      </c>
      <c r="B19" s="477" t="s">
        <v>22</v>
      </c>
      <c r="C19" s="479" t="str">
        <f>IF(第二週!$G$4=0,"",第二週!$G$4)</f>
        <v/>
      </c>
      <c r="D19" s="81" t="str">
        <f>IF(第二週!$G$34=0,"",第二週!$G$34)</f>
        <v>端午節</v>
      </c>
      <c r="E19" s="81" t="str">
        <f>IF(第二週!$G$49=0,"",第二週!$G$49)</f>
        <v/>
      </c>
      <c r="F19" s="82" t="str">
        <f>IF(第二週!$G$94=0,"",第二週!$G$94)</f>
        <v/>
      </c>
      <c r="G19" s="82" t="str">
        <f>IF(第二週!$G$109=0,"",第二週!$G$109)</f>
        <v/>
      </c>
      <c r="H19" s="82" t="str">
        <f>IF(第二週!$G$199=0,"",第二週!$G$199)</f>
        <v/>
      </c>
      <c r="I19" s="473" t="str">
        <f>IF(第二週!$G$184=0,"",第二週!$G$184)</f>
        <v/>
      </c>
      <c r="J19" s="481" t="str">
        <f>IF(第二週!$G$214=0,"",第二週!$G$214)</f>
        <v/>
      </c>
      <c r="K19" s="481" t="str">
        <f>IF(第二週!$G$234=0,"",第二週!$G$234)</f>
        <v/>
      </c>
      <c r="L19" s="488">
        <f>IFERROR(SUMPRODUCT(第二週!$J$4:$J$214,第二週!$AM$4:$AM$214)/第二週!$J$2,"")</f>
        <v>0</v>
      </c>
      <c r="M19" s="488">
        <f>IFERROR(SUMPRODUCT(第二週!$J$4:$J$214,第二週!$AN$4:$AN$214)/第二週!$J$2,"")</f>
        <v>0</v>
      </c>
      <c r="N19" s="488">
        <f>IFERROR(SUMPRODUCT(第二週!$J$4:$J$214,第二週!$AO$4:$AO$214)/第二週!$J$2,"")</f>
        <v>0</v>
      </c>
      <c r="O19" s="488">
        <f>IFERROR(SUMPRODUCT(第二週!$J$4:$J$214,第二週!$AP$4:$AP$214)/第二週!$J$2+2.3,"")</f>
        <v>2.2999999999999998</v>
      </c>
      <c r="P19" s="488">
        <f>IFERROR(SUMPRODUCT(第二週!$J$4:$J$214,第二週!$AQ$4:$AQ$214)/第二週!$J$2,"")</f>
        <v>0</v>
      </c>
      <c r="Q19" s="488">
        <f>IFERROR(SUMPRODUCT(第二週!$J$4:$J$214,第二週!$AR$4:$AR$214)/第二週!$J$2,"")</f>
        <v>0</v>
      </c>
      <c r="R19" s="490">
        <f>IFERROR(L19*70+M19*75+N19*25+O19*45+P19*60+Q19*150,"")</f>
        <v>103.49999999999999</v>
      </c>
    </row>
    <row r="20" spans="1:18" s="22" customFormat="1" ht="25.15" customHeight="1">
      <c r="A20" s="476"/>
      <c r="B20" s="478"/>
      <c r="C20" s="480"/>
      <c r="D20" s="21" t="str">
        <f>_xlfn.CONCAT(IF(IFERROR(FIND("素-",第二週!$H$34),0)=1,"",第二週!$H$34),IF(OR(第二週!$H$35=0,IFERROR(FIND("素-",第二週!$H$35),0)=1),"",","),IF(IFERROR(FIND("素-",第二週!$H$35),0)=1,"",第二週!$H$35),IF(OR(第二週!$H$36=0,IFERROR(FIND("素-",第二週!$H$36),0)=1),"",","),IF(IFERROR(FIND("素-",第二週!$H$36),0)=1,"",第二週!$H$36),IF(OR(第二週!$H$37=0,IFERROR(FIND("素-",第二週!$H$37),0)=1),"",","),IF(IFERROR(FIND("素-",第二週!$H$37),0)=1,"",第二週!$H$37),IF(OR(第二週!$H$38=0,IFERROR(FIND("素-",第二週!$H$38),0)=1),"",","),IF(IFERROR(FIND("素-",第二週!$H$38),0)=1,"",第二週!$H$38),IF(OR(第二週!$H$39=0,IFERROR(FIND("素-",第二週!$H$39),0)=1),"",","),IF(IFERROR(FIND("素-",第二週!$H$39),0)=1,"",第二週!$H$39),IF(OR(第二週!$H$40=0,IFERROR(FIND("素-",第二週!$H$40),0)=1),"",","),IF(IFERROR(FIND("素-",第二週!$H$40),0)=1,"",第二週!$H$40),IF(OR(第二週!$H$41=0,IFERROR(FIND("素-",第二週!$H$41),0)=1),"",","),IF(IFERROR(FIND("素-",第二週!$H$41),0)=1,"",第二週!$H$41),IF(OR(第二週!$H$42=0,IFERROR(FIND("素-",第二週!$H$42),0)=1),"",","),IF(IFERROR(FIND("素-",第二週!$H$42),0)=1,"",第二週!$H$42))</f>
        <v/>
      </c>
      <c r="E20" s="21" t="str">
        <f>_xlfn.CONCAT(IF(IFERROR(FIND("素-",第二週!$H$49),0)=1,"",第二週!$H$49),IF(OR(第二週!$H$50=0,IFERROR(FIND("素-",第二週!$H$50),0)=1),"",","),IF(IFERROR(FIND("素-",第二週!$H$50),0)=1,"",第二週!$H$50),IF(OR(第二週!$H$51=0,IFERROR(FIND("素-",第二週!$H$51),0)=1),"",","),IF(IFERROR(FIND("素-",第二週!$H$51),0)=1,"",第二週!$H$51),IF(OR(第二週!$H$52=0,IFERROR(FIND("素-",第二週!$H$52),0)=1),"",","),IF(IFERROR(FIND("素-",第二週!$H$52),0)=1,"",第二週!$H$52),IF(OR(第二週!$H$53=0,IFERROR(FIND("素-",第二週!$H$53),0)=1),"",","),IF(IFERROR(FIND("素-",第二週!$H$53),0)=1,"",第二週!$H$53),IF(OR(第二週!$H$54=0,IFERROR(FIND("素-",第二週!$H$54),0)=1),"",","),IF(IFERROR(FIND("素-",第二週!$H$54),0)=1,"",第二週!$H$54),IF(OR(第二週!$H$55=0,IFERROR(FIND("素-",第二週!$H$55),0)=1),"",","),IF(IFERROR(FIND("素-",第二週!$H$55),0)=1,"",第二週!$H$55))</f>
        <v/>
      </c>
      <c r="F20" s="21" t="str">
        <f>_xlfn.CONCAT(IF(IFERROR(FIND("素-",第二週!$H$94),0)=1,"",第二週!$H$94),IF(OR(第二週!$H$95=0,IFERROR(FIND("素-",第二週!$H$95),0)=1),"",","),IF(IFERROR(FIND("素-",第二週!$H$95),0)=1,"",第二週!$H$95),IF(OR(第二週!$H$96=0,IFERROR(FIND("素-",第二週!$H$96),0)=1),"",","),IF(IFERROR(FIND("素-",第二週!$H$96),0)=1,"",第二週!$H$96),IF(OR(第二週!$H$97=0,IFERROR(FIND("素-",第二週!$H$97),0)=1),"",","),IF(IFERROR(FIND("素-",第二週!$H$97),0)=1,"",第二週!$H$97),IF(OR(第二週!$H$98=0,IFERROR(FIND("素-",第二週!$H$98),0)=1),"",","),IF(IFERROR(FIND("素-",第二週!$H$98),0)=1,"",第二週!$H$98),IF(OR(第二週!$H$99=0,IFERROR(FIND("素-",第二週!$H$99),0)=1),"",","),IF(IFERROR(FIND("素-",第二週!$H$99),0)=1,"",第二週!$H$99),IF(OR(第二週!$H$100=0,IFERROR(FIND("素-",第二週!$H$100),0)=1),"",","),IF(IFERROR(FIND("素-",第二週!$H$100),0)=1,"",第二週!$H$100))</f>
        <v/>
      </c>
      <c r="G20" s="21" t="str">
        <f>_xlfn.CONCAT(IF(IFERROR(FIND("素-",第二週!$H$109),0)=1,"",第二週!$H$109),IF(OR(第二週!$H$110=0,IFERROR(FIND("素-",第二週!$H$110),0)=1),"",","),IF(IFERROR(FIND("素-",第二週!$H$110),0)=1,"",第二週!$H$110),IF(OR(第二週!$H$111=0,IFERROR(FIND("素-",第二週!$H$111),0)=1),"",","),IF(IFERROR(FIND("素-",第二週!$H$111),0)=1,"",第二週!$H$111),IF(OR(第二週!$H$112=0,IFERROR(FIND("素-",第二週!$H$112),0)=1),"",","),IF(IFERROR(FIND("素-",第二週!$H$112),0)=1,"",第二週!$H$112),IF(OR(第二週!$H$113=0,IFERROR(FIND("素-",第二週!$H$113),0)=1),"",","),IF(IFERROR(FIND("素-",第二週!$H$113),0)=1,"",第二週!$H$113),IF(OR(第二週!$H$114=0,IFERROR(FIND("素-",第二週!$H$114),0)=1),"",","),IF(IFERROR(FIND("素-",第二週!$H$114),0)=1,"",第二週!$H$114),IF(OR(第二週!$H$115=0,IFERROR(FIND("素-",第二週!$H$115),0)=1),"",","),IF(IFERROR(FIND("素-",第二週!$H$115),0)=1,"",第二週!$H$115))</f>
        <v/>
      </c>
      <c r="H20" s="21" t="str">
        <f>_xlfn.CONCAT(IF(IFERROR(FIND("素-",第二週!$H$199),0)=1,"",第二週!$H$199),IF(OR(第二週!$H$200=0,IFERROR(FIND("素-",第二週!$H$200),0)=1),"",","),IF(IFERROR(FIND("素-",第二週!$H$200),0)=1,"",第二週!$H$200),IF(OR(第二週!$H$201=0,IFERROR(FIND("素-",第二週!$H$201),0)=1),"",","),IF(IFERROR(FIND("素-",第二週!$H$201),0)=1,"",第二週!$H$201),IF(OR(第二週!$H$202=0,IFERROR(FIND("素-",第二週!$H$202),0)=1),"",","),IF(IFERROR(FIND("素-",第二週!$H$202),0)=1,"",第二週!$H$202),IF(OR(第二週!$H$203=0,IFERROR(FIND("素-",第二週!$H$203),0)=1),"",","),IF(IFERROR(FIND("素-",第二週!$H$203),0)=1,"",第二週!$H$203),IF(OR(第二週!$H$204=0,IFERROR(FIND("素-",第二週!$H$204),0)=1),"",","),IF(IFERROR(FIND("素-",第二週!$H$204),0)=1,"",第二週!$H$204),IF(OR(第二週!$H$205=0,IFERROR(FIND("素-",第二週!$H$205),0)=1),"",","),IF(IFERROR(FIND("素-",第二週!$H$205),0)=1,"",第二週!$H$205),IF(OR(第二週!$H$206=0,IFERROR(FIND("素-",第二週!$H$206),0)=1),"",","),IF(IFERROR(FIND("素-",第二週!$H$206),0)=1,"",第二週!$H$206))</f>
        <v/>
      </c>
      <c r="I20" s="474"/>
      <c r="J20" s="482"/>
      <c r="K20" s="482"/>
      <c r="L20" s="489"/>
      <c r="M20" s="489"/>
      <c r="N20" s="489"/>
      <c r="O20" s="489"/>
      <c r="P20" s="489"/>
      <c r="Q20" s="489"/>
      <c r="R20" s="491"/>
    </row>
    <row r="21" spans="1:18" ht="49.9" customHeight="1">
      <c r="A21" s="475">
        <f>IF(第二週!$L$2=0,"",第二週!$L$2)</f>
        <v>45454</v>
      </c>
      <c r="B21" s="477" t="s">
        <v>23</v>
      </c>
      <c r="C21" s="479" t="str">
        <f>IF(第二週!$L$4=0,"",第二週!$L$4)</f>
        <v>白飯</v>
      </c>
      <c r="D21" s="81" t="str">
        <f>IF(第二週!$L$34=0,"",第二週!$L$34)</f>
        <v>滷豬腳</v>
      </c>
      <c r="E21" s="81" t="str">
        <f>IF(第二週!$L$49=0,"",第二週!$L$49)</f>
        <v/>
      </c>
      <c r="F21" s="82" t="str">
        <f>IF(第二週!$L$94=0,"",第二週!$L$94)</f>
        <v>彩椒花椰</v>
      </c>
      <c r="G21" s="82" t="str">
        <f>IF(第二週!$L$109=0,"",第二週!$L$109)</f>
        <v>芋香大白</v>
      </c>
      <c r="H21" s="82" t="str">
        <f>IF(第二週!$L$199=0,"",第二週!$L$199)</f>
        <v>雙色蘿蔔湯</v>
      </c>
      <c r="I21" s="473" t="str">
        <f>IF(第二週!$L$184=0,"",第二週!$L$184)</f>
        <v>清炒時蔬</v>
      </c>
      <c r="J21" s="481" t="str">
        <f>IF(第二週!$L$214=0,"",第二週!$L$214)</f>
        <v>牛奶</v>
      </c>
      <c r="K21" s="481" t="str">
        <f>IF(第二週!$L$234=0,"",第二週!$L$234)</f>
        <v/>
      </c>
      <c r="L21" s="488">
        <f>IFERROR(SUMPRODUCT(第二週!$O$4:$O$214,第二週!$AT$4:$AT$214)/第二週!$O$2,"")</f>
        <v>0</v>
      </c>
      <c r="M21" s="488">
        <f>IFERROR(SUMPRODUCT(第二週!$O$4:$O$214,第二週!$AU$4:$AU$214)/第二週!$O$2,"")</f>
        <v>0</v>
      </c>
      <c r="N21" s="488">
        <f>IFERROR(SUMPRODUCT(第二週!$O$4:$O$214,第二週!$AV$4:$AV$214)/第二週!$O$2,"")</f>
        <v>0</v>
      </c>
      <c r="O21" s="488">
        <f>IFERROR(SUMPRODUCT(第二週!$O$4:$O$214,第二週!$AW$4:$AW$214)/第二週!$O$2+2.3,"")</f>
        <v>2.2999999999999998</v>
      </c>
      <c r="P21" s="488">
        <f>IFERROR(SUMPRODUCT(第二週!$O$4:$O$214,第二週!$AX$4:$AX$214)/第二週!$O$2,"")</f>
        <v>0</v>
      </c>
      <c r="Q21" s="488">
        <f>IFERROR(SUMPRODUCT(第二週!$O$4:$O$214,第二週!$AY$4:$AY$214)/第二週!$O$2,"")</f>
        <v>0</v>
      </c>
      <c r="R21" s="490">
        <f>IFERROR(L21*70+M21*75+N21*25+O21*45+P21*60+Q21*150,"")</f>
        <v>103.49999999999999</v>
      </c>
    </row>
    <row r="22" spans="1:18" s="22" customFormat="1" ht="25.15" customHeight="1">
      <c r="A22" s="476"/>
      <c r="B22" s="478"/>
      <c r="C22" s="480"/>
      <c r="D22" s="21" t="str">
        <f>_xlfn.CONCAT(IF(IFERROR(FIND("素-",第二週!$M$34),0)=1,"",第二週!$M$34),IF(OR(第二週!$M$35=0,IFERROR(FIND("素-",第二週!$M$35),0)=1),"",","),IF(IFERROR(FIND("素-",第二週!$M$35),0)=1,"",第二週!$M$35),IF(OR(第二週!$M$36=0,IFERROR(FIND("素-",第二週!$M$36),0)=1),"",","),IF(IFERROR(FIND("素-",第二週!$M$36),0)=1,"",第二週!$M$36),IF(OR(第二週!$M$37=0,IFERROR(FIND("素-",第二週!$M$37),0)=1),"",","),IF(IFERROR(FIND("素-",第二週!$M$37),0)=1,"",第二週!$M$37),IF(OR(第二週!$M$38=0,IFERROR(FIND("素-",第二週!$M$38),0)=1),"",","),IF(IFERROR(FIND("素-",第二週!$M$38),0)=1,"",第二週!$M$38),IF(OR(第二週!$M$39=0,IFERROR(FIND("素-",第二週!$M$39),0)=1),"",","),IF(IFERROR(FIND("素-",第二週!$M$39),0)=1,"",第二週!$M$39),IF(OR(第二週!$M$40=0,IFERROR(FIND("素-",第二週!$M$40),0)=1),"",","),IF(IFERROR(FIND("素-",第二週!$M$40),0)=1,"",第二週!$M$40),IF(OR(第二週!$M$41=0,IFERROR(FIND("素-",第二週!$M$41),0)=1),"",","),IF(IFERROR(FIND("素-",第二週!$M$41),0)=1,"",第二週!$M$41),IF(OR(第二週!$M$42=0,IFERROR(FIND("素-",第二週!$M$42),0)=1),"",","),IF(IFERROR(FIND("素-",第二週!$M$42),0)=1,"",第二週!$M$42))</f>
        <v>豬前腿肉,豬腳,小三角油豆腐,胡蘿蔔,滷包,青蔥,蒜仁,薑絲</v>
      </c>
      <c r="E22" s="21" t="str">
        <f>_xlfn.CONCAT(IF(IFERROR(FIND("素-",第二週!$M$49),0)=1,"",第二週!$M$49),IF(OR(第二週!$M$50=0,IFERROR(FIND("素-",第二週!$M$50),0)=1),"",","),IF(IFERROR(FIND("素-",第二週!$M$50),0)=1,"",第二週!$M$50),IF(OR(第二週!$M$51=0,IFERROR(FIND("素-",第二週!$M$51),0)=1),"",","),IF(IFERROR(FIND("素-",第二週!$M$51),0)=1,"",第二週!$M$51),IF(OR(第二週!$M$52=0,IFERROR(FIND("素-",第二週!$M$52),0)=1),"",","),IF(IFERROR(FIND("素-",第二週!$M$52),0)=1,"",第二週!$M$52),IF(OR(第二週!$M$53=0,IFERROR(FIND("素-",第二週!$M$53),0)=1),"",","),IF(IFERROR(FIND("素-",第二週!$M$53),0)=1,"",第二週!$M$53),IF(OR(第二週!$M$54=0,IFERROR(FIND("素-",第二週!$M$54),0)=1),"",","),IF(IFERROR(FIND("素-",第二週!$M$54),0)=1,"",第二週!$M$54),IF(OR(第二週!$M$55=0,IFERROR(FIND("素-",第二週!$M$55),0)=1),"",","),IF(IFERROR(FIND("素-",第二週!$M$55),0)=1,"",第二週!$M$55))</f>
        <v>港西6/11(二) 五六年級校外教學 學生減25葷1素.老師減2葷</v>
      </c>
      <c r="F22" s="21" t="str">
        <f>_xlfn.CONCAT(IF(IFERROR(FIND("素-",第二週!$M$94),0)=1,"",第二週!$M$94),IF(OR(第二週!$M$95=0,IFERROR(FIND("素-",第二週!$M$95),0)=1),"",","),IF(IFERROR(FIND("素-",第二週!$M$95),0)=1,"",第二週!$M$95),IF(OR(第二週!$M$96=0,IFERROR(FIND("素-",第二週!$M$96),0)=1),"",","),IF(IFERROR(FIND("素-",第二週!$M$96),0)=1,"",第二週!$M$96),IF(OR(第二週!$M$97=0,IFERROR(FIND("素-",第二週!$M$97),0)=1),"",","),IF(IFERROR(FIND("素-",第二週!$M$97),0)=1,"",第二週!$M$97),IF(OR(第二週!$M$98=0,IFERROR(FIND("素-",第二週!$M$98),0)=1),"",","),IF(IFERROR(FIND("素-",第二週!$M$98),0)=1,"",第二週!$M$98),IF(OR(第二週!$M$99=0,IFERROR(FIND("素-",第二週!$M$99),0)=1),"",","),IF(IFERROR(FIND("素-",第二週!$M$99),0)=1,"",第二週!$M$99),IF(OR(第二週!$M$100=0,IFERROR(FIND("素-",第二週!$M$100),0)=1),"",","),IF(IFERROR(FIND("素-",第二週!$M$100),0)=1,"",第二週!$M$100))</f>
        <v>冷凍青花菜,紅甜椒,黃甜椒,生香菇,木耳</v>
      </c>
      <c r="G22" s="21" t="str">
        <f>_xlfn.CONCAT(IF(IFERROR(FIND("素-",第二週!$M$109),0)=1,"",第二週!$M$109),IF(OR(第二週!$M$110=0,IFERROR(FIND("素-",第二週!$M$110),0)=1),"",","),IF(IFERROR(FIND("素-",第二週!$M$110),0)=1,"",第二週!$M$110),IF(OR(第二週!$M$111=0,IFERROR(FIND("素-",第二週!$M$111),0)=1),"",","),IF(IFERROR(FIND("素-",第二週!$M$111),0)=1,"",第二週!$M$111),IF(OR(第二週!$M$112=0,IFERROR(FIND("素-",第二週!$M$112),0)=1),"",","),IF(IFERROR(FIND("素-",第二週!$M$112),0)=1,"",第二週!$M$112),IF(OR(第二週!$M$113=0,IFERROR(FIND("素-",第二週!$M$113),0)=1),"",","),IF(IFERROR(FIND("素-",第二週!$M$113),0)=1,"",第二週!$M$113),IF(OR(第二週!$M$114=0,IFERROR(FIND("素-",第二週!$M$114),0)=1),"",","),IF(IFERROR(FIND("素-",第二週!$M$114),0)=1,"",第二週!$M$114),IF(OR(第二週!$M$115=0,IFERROR(FIND("素-",第二週!$M$115),0)=1),"",","),IF(IFERROR(FIND("素-",第二週!$M$115),0)=1,"",第二週!$M$115))</f>
        <v>大白菜,冷凍芋頭丁,生香菇</v>
      </c>
      <c r="H22" s="21" t="str">
        <f>_xlfn.CONCAT(IF(IFERROR(FIND("素-",第二週!$M$199),0)=1,"",第二週!$M$199),IF(OR(第二週!$M$200=0,IFERROR(FIND("素-",第二週!$M$200),0)=1),"",","),IF(IFERROR(FIND("素-",第二週!$M$200),0)=1,"",第二週!$M$200),IF(OR(第二週!$M$201=0,IFERROR(FIND("素-",第二週!$M$201),0)=1),"",","),IF(IFERROR(FIND("素-",第二週!$M$201),0)=1,"",第二週!$M$201),IF(OR(第二週!$M$202=0,IFERROR(FIND("素-",第二週!$M$202),0)=1),"",","),IF(IFERROR(FIND("素-",第二週!$M$202),0)=1,"",第二週!$M$202),IF(OR(第二週!$M$203=0,IFERROR(FIND("素-",第二週!$M$203),0)=1),"",","),IF(IFERROR(FIND("素-",第二週!$M$203),0)=1,"",第二週!$M$203),IF(OR(第二週!$M$204=0,IFERROR(FIND("素-",第二週!$M$204),0)=1),"",","),IF(IFERROR(FIND("素-",第二週!$M$204),0)=1,"",第二週!$M$204),IF(OR(第二週!$M$205=0,IFERROR(FIND("素-",第二週!$M$205),0)=1),"",","),IF(IFERROR(FIND("素-",第二週!$M$205),0)=1,"",第二週!$M$205),IF(OR(第二週!$M$206=0,IFERROR(FIND("素-",第二週!$M$206),0)=1),"",","),IF(IFERROR(FIND("素-",第二週!$M$206),0)=1,"",第二週!$M$206))</f>
        <v>白蘿蔔,胡蘿蔔,中排</v>
      </c>
      <c r="I22" s="474"/>
      <c r="J22" s="482"/>
      <c r="K22" s="482"/>
      <c r="L22" s="489"/>
      <c r="M22" s="489"/>
      <c r="N22" s="489"/>
      <c r="O22" s="489"/>
      <c r="P22" s="489"/>
      <c r="Q22" s="489"/>
      <c r="R22" s="491"/>
    </row>
    <row r="23" spans="1:18" ht="49.9" customHeight="1">
      <c r="A23" s="475">
        <f>IF(第二週!$Q$2=0,"",第二週!$Q$2)</f>
        <v>45455</v>
      </c>
      <c r="B23" s="477" t="s">
        <v>24</v>
      </c>
      <c r="C23" s="479" t="str">
        <f>IF(第二週!$Q$4=0,"",第二週!$Q$4)</f>
        <v>螺旋麵</v>
      </c>
      <c r="D23" s="81" t="str">
        <f>IF(第二週!$Q$34=0,"",第二週!$Q$34)</f>
        <v>茄汁義大利麵</v>
      </c>
      <c r="E23" s="81" t="str">
        <f>IF(第二週!$Q$49=0,"",第二週!$Q$49)</f>
        <v>奶皇包</v>
      </c>
      <c r="F23" s="82"/>
      <c r="G23" s="82" t="str">
        <f>IF(第二週!$Q$109=0,"",第二週!$Q$109)</f>
        <v>風味四季豆</v>
      </c>
      <c r="H23" s="82" t="str">
        <f>IF(第二週!$Q$199=0,"",第二週!$Q$199)</f>
        <v>玉米濃湯</v>
      </c>
      <c r="I23" s="473" t="str">
        <f>IF(第二週!$Q$184=0,"",第二週!$Q$184)</f>
        <v>清炒時蔬</v>
      </c>
      <c r="J23" s="481" t="str">
        <f>IF(第二週!$Q$214=0,"",第二週!$Q$214)</f>
        <v>水果</v>
      </c>
      <c r="K23" s="481" t="str">
        <f>IF(第二週!$Q$234=0,"",第二週!$Q$234)</f>
        <v/>
      </c>
      <c r="L23" s="488">
        <f>IFERROR(SUMPRODUCT(第二週!$T$4:$T$214,第二週!$BA$4:$BA$214)/第二週!$T$2,"")</f>
        <v>0</v>
      </c>
      <c r="M23" s="488">
        <f>IFERROR(SUMPRODUCT(第二週!$T$4:$T$214,第二週!$BB$4:$BB$214)/第二週!$T$2,"")</f>
        <v>0</v>
      </c>
      <c r="N23" s="488">
        <f>IFERROR(SUMPRODUCT(第二週!$T$4:$T$214,第二週!$BC$4:$BC$214)/第二週!$T$2,"")</f>
        <v>0</v>
      </c>
      <c r="O23" s="488">
        <f>IFERROR(SUMPRODUCT(第二週!$T$4:$T$214,第二週!$BD$4:$BD$214)/第二週!$T$2+2.3,"")</f>
        <v>2.2999999999999998</v>
      </c>
      <c r="P23" s="488">
        <f>IFERROR(SUMPRODUCT(第二週!$T$4:$T$214,第二週!$BE$4:$BE$214)/第二週!$T$2,"")</f>
        <v>0</v>
      </c>
      <c r="Q23" s="488">
        <f>IFERROR(SUMPRODUCT(第二週!$T$4:$T$214,第二週!$BF$4:$BF$214)/第二週!$T$2,"")</f>
        <v>0</v>
      </c>
      <c r="R23" s="490">
        <f>IFERROR(L23*70+M23*75+N23*25+O23*45+P23*60+Q23*150,"")</f>
        <v>103.49999999999999</v>
      </c>
    </row>
    <row r="24" spans="1:18" s="22" customFormat="1" ht="25.15" customHeight="1">
      <c r="A24" s="476"/>
      <c r="B24" s="478"/>
      <c r="C24" s="480"/>
      <c r="D24" s="21" t="e">
        <f>_xlfn.CONCAT(IF(IFERROR(FIND("素-",第二週!$R$34),0)=1,"",第二週!$R$34),IF(OR(第二週!$R$35=0,IFERROR(FIND("素-",第二週!$R$35),0)=1),"",","),IF(IFERROR(FIND("素-",第二週!$R$35),0)=1,"",第二週!$R$35),IF(OR(第二週!$R$36=0,IFERROR(FIND("素-",第二週!$R$36),0)=1),"",","),IF(IFERROR(FIND("素-",第二週!$R$36),0)=1,"",第二週!$R$36),IF(OR(第二週!$R$37=0,IFERROR(FIND("素-",第二週!$R$37),0)=1),"",","),IF(IFERROR(FIND("素-",第二週!$R$37),0)=1,"",第二週!$R$37),IF(OR(第二週!$R$38=0,IFERROR(FIND("素-",第二週!$R$38),0)=1),"",","),IF(IFERROR(FIND("素-",第二週!$R$38),0)=1,"",第二週!$R$38),IF(OR(第二週!#REF!=0,IFERROR(FIND("素-",第二週!#REF!),0)=1),"",","),IF(IFERROR(FIND("素-",第二週!#REF!),0)=1,"",第二週!#REF!),IF(OR(第二週!$R$40=0,IFERROR(FIND("素-",第二週!$R$40),0)=1),"",","),IF(IFERROR(FIND("素-",第二週!$R$40),0)=1,"",第二週!$R$40),IF(OR(第二週!$R$39=0,IFERROR(FIND("素-",第二週!$R$39),0)=1),"",","),IF(IFERROR(FIND("素-",第二週!$R$39),0)=1,"",第二週!$R$39),IF(OR(第二週!$R$42=0,IFERROR(FIND("素-",第二週!$R$42),0)=1),"",","),IF(IFERROR(FIND("素-",第二週!$R$42),0)=1,"",第二週!$R$42))</f>
        <v>#REF!</v>
      </c>
      <c r="E24" s="21" t="str">
        <f>_xlfn.CONCAT(IF(IFERROR(FIND("素-",第二週!$R$49),0)=1,"",第二週!$R$49),IF(OR(第二週!$R$50=0,IFERROR(FIND("素-",第二週!$R$50),0)=1),"",","),IF(IFERROR(FIND("素-",第二週!$R$50),0)=1,"",第二週!$R$50),IF(OR(第二週!$R$51=0,IFERROR(FIND("素-",第二週!$R$51),0)=1),"",","),IF(IFERROR(FIND("素-",第二週!$R$51),0)=1,"",第二週!$R$51),IF(OR(第二週!$R$52=0,IFERROR(FIND("素-",第二週!$R$52),0)=1),"",","),IF(IFERROR(FIND("素-",第二週!$R$52),0)=1,"",第二週!$R$52),IF(OR(第二週!$R$53=0,IFERROR(FIND("素-",第二週!$R$53),0)=1),"",","),IF(IFERROR(FIND("素-",第二週!$R$53),0)=1,"",第二週!$R$53),IF(OR(第二週!$R$54=0,IFERROR(FIND("素-",第二週!$R$54),0)=1),"",","),IF(IFERROR(FIND("素-",第二週!$R$54),0)=1,"",第二週!$R$54),IF(OR(第二週!$R$55=0,IFERROR(FIND("素-",第二週!$R$55),0)=1),"",","),IF(IFERROR(FIND("素-",第二週!$R$55),0)=1,"",第二週!$R$55))</f>
        <v>奶皇包</v>
      </c>
      <c r="F24" s="21"/>
      <c r="G24" s="21" t="str">
        <f>_xlfn.CONCAT(IF(IFERROR(FIND("素-",第二週!$R$109),0)=1,"",第二週!$R$109),IF(OR(第二週!$R$110=0,IFERROR(FIND("素-",第二週!$R$110),0)=1),"",","),IF(IFERROR(FIND("素-",第二週!$R$110),0)=1,"",第二週!$R$110),IF(OR(第二週!$R$111=0,IFERROR(FIND("素-",第二週!$R$111),0)=1),"",","),IF(IFERROR(FIND("素-",第二週!$R$111),0)=1,"",第二週!$R$111),IF(OR(第二週!$R$112=0,IFERROR(FIND("素-",第二週!$R$112),0)=1),"",","),IF(IFERROR(FIND("素-",第二週!$R$112),0)=1,"",第二週!$R$112),IF(OR(第二週!$R$113=0,IFERROR(FIND("素-",第二週!$R$113),0)=1),"",","),IF(IFERROR(FIND("素-",第二週!$R$113),0)=1,"",第二週!$R$113),IF(OR(第二週!$R$114=0,IFERROR(FIND("素-",第二週!$R$114),0)=1),"",","),IF(IFERROR(FIND("素-",第二週!$R$114),0)=1,"",第二週!$R$114),IF(OR(第二週!$R$115=0,IFERROR(FIND("素-",第二週!$R$115),0)=1),"",","),IF(IFERROR(FIND("素-",第二週!$R$115),0)=1,"",第二週!$R$115))</f>
        <v>冷凍四季豆,大蒜,豬絞肉</v>
      </c>
      <c r="H24" s="21" t="str">
        <f>_xlfn.CONCAT(IF(IFERROR(FIND("素-",第二週!$R$199),0)=1,"",第二週!$R$199),IF(OR(第二週!$R$200=0,IFERROR(FIND("素-",第二週!$R$200),0)=1),"",","),IF(IFERROR(FIND("素-",第二週!$R$200),0)=1,"",第二週!$R$200),IF(OR(第二週!$R$201=0,IFERROR(FIND("素-",第二週!$R$201),0)=1),"",","),IF(IFERROR(FIND("素-",第二週!$R$201),0)=1,"",第二週!$R$201),IF(OR(第二週!$R$202=0,IFERROR(FIND("素-",第二週!$R$202),0)=1),"",","),IF(IFERROR(FIND("素-",第二週!$R$202),0)=1,"",第二週!$R$202),IF(OR(第二週!$R$203=0,IFERROR(FIND("素-",第二週!$R$203),0)=1),"",","),IF(IFERROR(FIND("素-",第二週!$R$203),0)=1,"",第二週!$R$203),IF(OR(第二週!$R$204=0,IFERROR(FIND("素-",第二週!$R$204),0)=1),"",","),IF(IFERROR(FIND("素-",第二週!$R$204),0)=1,"",第二週!$R$204),IF(OR(第二週!$R$205=0,IFERROR(FIND("素-",第二週!$R$205),0)=1),"",","),IF(IFERROR(FIND("素-",第二週!$R$205),0)=1,"",第二週!$R$205),IF(OR(第二週!$R$206=0,IFERROR(FIND("素-",第二週!$R$206),0)=1),"",","),IF(IFERROR(FIND("素-",第二週!$R$206),0)=1,"",第二週!$R$206))</f>
        <v>冷凍玉米粒,冷凍洋芋丁,雞蛋,全脂奶粉</v>
      </c>
      <c r="I24" s="474"/>
      <c r="J24" s="482"/>
      <c r="K24" s="482"/>
      <c r="L24" s="489"/>
      <c r="M24" s="489"/>
      <c r="N24" s="489"/>
      <c r="O24" s="489"/>
      <c r="P24" s="489"/>
      <c r="Q24" s="489"/>
      <c r="R24" s="491"/>
    </row>
    <row r="25" spans="1:18" ht="49.9" customHeight="1">
      <c r="A25" s="475">
        <f>IF(第二週!$V$2=0,"",第二週!$V$2)</f>
        <v>45456</v>
      </c>
      <c r="B25" s="477" t="s">
        <v>25</v>
      </c>
      <c r="C25" s="479" t="str">
        <f>IF(第二週!$V$4=0,"",第二週!$V$4)</f>
        <v>麥片飯</v>
      </c>
      <c r="D25" s="81" t="str">
        <f>IF(第二週!$V$34=0,"",第二週!$V$34)</f>
        <v>蔥油雞</v>
      </c>
      <c r="E25" s="81" t="str">
        <f>IF(第二週!$V$49=0,"",第二週!$V$49)</f>
        <v/>
      </c>
      <c r="F25" s="82" t="str">
        <f>IF(第二週!$V$94=0,"",第二週!$V$94)</f>
        <v>綜合滷味</v>
      </c>
      <c r="G25" s="82" t="str">
        <f>IF(第二週!$V$109=0,"",第二週!$V$109)</f>
        <v>客家小炒</v>
      </c>
      <c r="H25" s="82" t="str">
        <f>IF(第二週!$V$199=0,"",第二週!$V$199)</f>
        <v>香菇竹筍湯</v>
      </c>
      <c r="I25" s="473" t="str">
        <f>IF(第二週!$V$184=0,"",第二週!$V$184)</f>
        <v>清炒時蔬</v>
      </c>
      <c r="J25" s="481" t="str">
        <f>IF(第二週!$V$214=0,"",第二週!$V$214)</f>
        <v>牛奶</v>
      </c>
      <c r="K25" s="481" t="str">
        <f>IF(第二週!$V$234=0,"",第二週!$V$234)</f>
        <v/>
      </c>
      <c r="L25" s="488">
        <f>IFERROR(SUMPRODUCT(第二週!$Y$4:$Y$214,第二週!$BH$4:$BH$214)/第二週!$Y$2,"")</f>
        <v>0</v>
      </c>
      <c r="M25" s="488">
        <f>IFERROR(SUMPRODUCT(第二週!$Y$4:$Y$214,第二週!$BI$4:$BI$214)/第二週!$Y$2,"")</f>
        <v>0</v>
      </c>
      <c r="N25" s="488">
        <f>IFERROR(SUMPRODUCT(第二週!$Y$4:$Y$214,第二週!$BJ$4:$BJ$214)/第二週!$Y$2,"")</f>
        <v>0</v>
      </c>
      <c r="O25" s="488">
        <f>IFERROR(SUMPRODUCT(第二週!$Y$4:$Y$214,第二週!$BK$4:$BK$214)/第二週!$Y$2+2.3,"")</f>
        <v>2.2999999999999998</v>
      </c>
      <c r="P25" s="488">
        <f>IFERROR(SUMPRODUCT(第二週!$Y$4:$Y$214,第二週!$BL$4:$BL$214)/第二週!$Y$2,"")</f>
        <v>0</v>
      </c>
      <c r="Q25" s="488">
        <f>IFERROR(SUMPRODUCT(第二週!$Y$4:$Y$214,第二週!$BM$4:$BM$214)/第二週!$Y$2,"")</f>
        <v>0</v>
      </c>
      <c r="R25" s="490">
        <f>IFERROR(L25*70+M25*75+N25*25+O25*45+P25*60+Q25*150,"")</f>
        <v>103.49999999999999</v>
      </c>
    </row>
    <row r="26" spans="1:18" s="22" customFormat="1" ht="25.15" customHeight="1">
      <c r="A26" s="476"/>
      <c r="B26" s="478"/>
      <c r="C26" s="480"/>
      <c r="D26" s="21" t="str">
        <f>_xlfn.CONCAT(IF(IFERROR(FIND("素-",第二週!$W$34),0)=1,"",第二週!$W$34),IF(OR(第二週!$W$35=0,IFERROR(FIND("素-",第二週!$W$35),0)=1),"",","),IF(IFERROR(FIND("素-",第二週!$W$35),0)=1,"",第二週!$W$35),IF(OR(第二週!$W$36=0,IFERROR(FIND("素-",第二週!$W$36),0)=1),"",","),IF(IFERROR(FIND("素-",第二週!$W$36),0)=1,"",第二週!$W$36),IF(OR(第二週!$W$37=0,IFERROR(FIND("素-",第二週!$W$37),0)=1),"",","),IF(IFERROR(FIND("素-",第二週!$W$37),0)=1,"",第二週!$W$37),IF(OR(第二週!$W$38=0,IFERROR(FIND("素-",第二週!$W$38),0)=1),"",","),IF(IFERROR(FIND("素-",第二週!$W$38),0)=1,"",第二週!$W$38),IF(OR(第二週!$W$39=0,IFERROR(FIND("素-",第二週!$W$39),0)=1),"",","),IF(IFERROR(FIND("素-",第二週!$W$39),0)=1,"",第二週!$W$39),IF(OR(第二週!$W$40=0,IFERROR(FIND("素-",第二週!$W$40),0)=1),"",","),IF(IFERROR(FIND("素-",第二週!$W$40),0)=1,"",第二週!$W$40),IF(OR(第二週!$W$41=0,IFERROR(FIND("素-",第二週!$W$41),0)=1),"",","),IF(IFERROR(FIND("素-",第二週!$W$41),0)=1,"",第二週!$W$41),IF(OR(第二週!$W$42=0,IFERROR(FIND("素-",第二週!$W$42),0)=1),"",","),IF(IFERROR(FIND("素-",第二週!$W$42),0)=1,"",第二週!$W$42))</f>
        <v>骨腿,雞清胸肉,白蘿蔔,青蔥</v>
      </c>
      <c r="E26" s="21" t="str">
        <f>_xlfn.CONCAT(IF(IFERROR(FIND("素-",第二週!$W$49),0)=1,"",第二週!$W$49),IF(OR(第二週!$W$50=0,IFERROR(FIND("素-",第二週!$W$50),0)=1),"",","),IF(IFERROR(FIND("素-",第二週!$W$50),0)=1,"",第二週!$W$50),IF(OR(第二週!$W$51=0,IFERROR(FIND("素-",第二週!$W$51),0)=1),"",","),IF(IFERROR(FIND("素-",第二週!$W$51),0)=1,"",第二週!$W$51),IF(OR(第二週!$W$52=0,IFERROR(FIND("素-",第二週!$W$52),0)=1),"",","),IF(IFERROR(FIND("素-",第二週!$W$52),0)=1,"",第二週!$W$52),IF(OR(第二週!$W$53=0,IFERROR(FIND("素-",第二週!$W$53),0)=1),"",","),IF(IFERROR(FIND("素-",第二週!$W$53),0)=1,"",第二週!$W$53),IF(OR(第二週!$W$54=0,IFERROR(FIND("素-",第二週!$W$54),0)=1),"",","),IF(IFERROR(FIND("素-",第二週!$W$54),0)=1,"",第二週!$W$54),IF(OR(第二週!$W$55=0,IFERROR(FIND("素-",第二週!$W$55),0)=1),"",","),IF(IFERROR(FIND("素-",第二週!$W$55),0)=1,"",第二週!$W$55))</f>
        <v/>
      </c>
      <c r="F26" s="21" t="str">
        <f>_xlfn.CONCAT(IF(IFERROR(FIND("素-",第二週!$W$94),0)=1,"",第二週!$W$94),IF(OR(第二週!$W$95=0,IFERROR(FIND("素-",第二週!$W$95),0)=1),"",","),IF(IFERROR(FIND("素-",第二週!$W$95),0)=1,"",第二週!$W$95),IF(OR(第二週!$W$96=0,IFERROR(FIND("素-",第二週!$W$96),0)=1),"",","),IF(IFERROR(FIND("素-",第二週!$W$96),0)=1,"",第二週!$W$96),IF(OR(第二週!$W$97=0,IFERROR(FIND("素-",第二週!$W$97),0)=1),"",","),IF(IFERROR(FIND("素-",第二週!$W$97),0)=1,"",第二週!$W$97),IF(OR(第二週!$W$98=0,IFERROR(FIND("素-",第二週!$W$98),0)=1),"",","),IF(IFERROR(FIND("素-",第二週!$W$98),0)=1,"",第二週!$W$98),IF(OR(第二週!$W$99=0,IFERROR(FIND("素-",第二週!$W$99),0)=1),"",","),IF(IFERROR(FIND("素-",第二週!$W$99),0)=1,"",第二週!$W$99),IF(OR(第二週!$W$100=0,IFERROR(FIND("素-",第二週!$W$100),0)=1),"",","),IF(IFERROR(FIND("素-",第二週!$W$100),0)=1,"",第二週!$W$100))</f>
        <v>杏鮑菇,小三角油豆腐,白蘿蔔,海帶結</v>
      </c>
      <c r="G26" s="21" t="str">
        <f>_xlfn.CONCAT(IF(IFERROR(FIND("素-",第二週!$W$109),0)=1,"",第二週!$W$109),IF(OR(第二週!$W$110=0,IFERROR(FIND("素-",第二週!$W$110),0)=1),"",","),IF(IFERROR(FIND("素-",第二週!$W$110),0)=1,"",第二週!$W$110),IF(OR(第二週!$W$111=0,IFERROR(FIND("素-",第二週!$W$111),0)=1),"",","),IF(IFERROR(FIND("素-",第二週!$W$111),0)=1,"",第二週!$W$111),IF(OR(第二週!$W$112=0,IFERROR(FIND("素-",第二週!$W$112),0)=1),"",","),IF(IFERROR(FIND("素-",第二週!$W$112),0)=1,"",第二週!$W$112),IF(OR(第二週!$W$113=0,IFERROR(FIND("素-",第二週!$W$113),0)=1),"",","),IF(IFERROR(FIND("素-",第二週!$W$113),0)=1,"",第二週!$W$113),IF(OR(第二週!$W$114=0,IFERROR(FIND("素-",第二週!$W$114),0)=1),"",","),IF(IFERROR(FIND("素-",第二週!$W$114),0)=1,"",第二週!$W$114),IF(OR(第二週!$W$115=0,IFERROR(FIND("素-",第二週!$W$115),0)=1),"",","),IF(IFERROR(FIND("素-",第二週!$W$115),0)=1,"",第二週!$W$115))</f>
        <v>黃豆干,芹菜,豬前腿肉,魷魚短絲</v>
      </c>
      <c r="H26" s="21" t="str">
        <f>_xlfn.CONCAT(IF(IFERROR(FIND("素-",第二週!$W$199),0)=1,"",第二週!$W$199),IF(OR(第二週!$W$200=0,IFERROR(FIND("素-",第二週!$W$200),0)=1),"",","),IF(IFERROR(FIND("素-",第二週!$W$200),0)=1,"",第二週!$W$200),IF(OR(第二週!$W$201=0,IFERROR(FIND("素-",第二週!$W$201),0)=1),"",","),IF(IFERROR(FIND("素-",第二週!$W$201),0)=1,"",第二週!$W$201),IF(OR(第二週!$W$202=0,IFERROR(FIND("素-",第二週!$W$202),0)=1),"",","),IF(IFERROR(FIND("素-",第二週!$W$202),0)=1,"",第二週!$W$202),IF(OR(第二週!$W$203=0,IFERROR(FIND("素-",第二週!$W$203),0)=1),"",","),IF(IFERROR(FIND("素-",第二週!$W$203),0)=1,"",第二週!$W$203),IF(OR(第二週!$W$204=0,IFERROR(FIND("素-",第二週!$W$204),0)=1),"",","),IF(IFERROR(FIND("素-",第二週!$W$204),0)=1,"",第二週!$W$204),IF(OR(第二週!$W$205=0,IFERROR(FIND("素-",第二週!$W$205),0)=1),"",","),IF(IFERROR(FIND("素-",第二週!$W$205),0)=1,"",第二週!$W$205),IF(OR(第二週!$W$206=0,IFERROR(FIND("素-",第二週!$W$206),0)=1),"",","),IF(IFERROR(FIND("素-",第二週!$W$206),0)=1,"",第二週!$W$206))</f>
        <v>乾香菇,脆筍片,大骨</v>
      </c>
      <c r="I26" s="474"/>
      <c r="J26" s="482"/>
      <c r="K26" s="482"/>
      <c r="L26" s="489"/>
      <c r="M26" s="489"/>
      <c r="N26" s="489"/>
      <c r="O26" s="489"/>
      <c r="P26" s="489"/>
      <c r="Q26" s="489"/>
      <c r="R26" s="491"/>
    </row>
    <row r="27" spans="1:18" ht="49.9" customHeight="1">
      <c r="A27" s="475">
        <f>IF(第二週!$AA$2=0,"",第二週!$AA$2)</f>
        <v>45457</v>
      </c>
      <c r="B27" s="477" t="s">
        <v>37</v>
      </c>
      <c r="C27" s="479" t="str">
        <f>IF(第二週!$AA$4=0,"",第二週!$AA$4)</f>
        <v>白飯</v>
      </c>
      <c r="D27" s="81" t="str">
        <f>IF(第二週!$AA$34=0,"",第二週!$AA$34)</f>
        <v>蒙古炒肉</v>
      </c>
      <c r="E27" s="81" t="str">
        <f>IF(第二週!$AA$49=0,"",第二週!$AA$49)</f>
        <v/>
      </c>
      <c r="F27" s="82" t="str">
        <f>IF(第二週!$AA$94=0,"",第二週!$AA$94)</f>
        <v>洋芋玉米蛋</v>
      </c>
      <c r="G27" s="82" t="str">
        <f>IF(第二週!$AA$109=0,"",第二週!$AA$109)</f>
        <v>塔香海根</v>
      </c>
      <c r="H27" s="82" t="str">
        <f>IF(第二週!$AA$199=0,"",第二週!$AA$199)</f>
        <v>鮮菇冬瓜湯</v>
      </c>
      <c r="I27" s="473" t="str">
        <f>IF(第二週!$AA$184=0,"",第二週!$AA$184)</f>
        <v>清炒時蔬</v>
      </c>
      <c r="J27" s="481" t="str">
        <f>IF(第二週!$AA$214=0,"",第二週!$AA$214)</f>
        <v>水果</v>
      </c>
      <c r="K27" s="481" t="str">
        <f>IF(第二週!$AA$234=0,"",第二週!$AA$234)</f>
        <v/>
      </c>
      <c r="L27" s="488">
        <f>IFERROR(SUMPRODUCT(第二週!$AD$4:$AD$214,第二週!$BO$4:$BO$214)/第二週!$AD$2,"")</f>
        <v>0</v>
      </c>
      <c r="M27" s="488">
        <f>IFERROR(SUMPRODUCT(第二週!$AD$4:$AD$214,第二週!$BP$4:$BP$214)/第二週!$AD$2,"")</f>
        <v>0</v>
      </c>
      <c r="N27" s="488">
        <f>IFERROR(SUMPRODUCT(第二週!$AD$4:$AD$214,第二週!$BQ$4:$BQ$214)/第二週!$AD$2,"")</f>
        <v>0</v>
      </c>
      <c r="O27" s="488">
        <f>IFERROR(SUMPRODUCT(第二週!$AD$4:$AD$214,第二週!$BR$4:$BR$214)/第二週!$AD$2+2.3,"")</f>
        <v>2.2999999999999998</v>
      </c>
      <c r="P27" s="488">
        <f>IFERROR(SUMPRODUCT(第二週!$AD$4:$AD$214,第二週!$BS$4:$BS$214)/第二週!$AD$2,"")</f>
        <v>0</v>
      </c>
      <c r="Q27" s="488">
        <f>IFERROR(SUMPRODUCT(第二週!$AD$4:$AD$214,第二週!$BT$4:$BT$214)/第二週!$AD$2,"")</f>
        <v>0</v>
      </c>
      <c r="R27" s="490">
        <f>IFERROR(L27*70+M27*75+N27*25+O27*45+P27*60+Q27*150,"")</f>
        <v>103.49999999999999</v>
      </c>
    </row>
    <row r="28" spans="1:18" s="22" customFormat="1" ht="25.15" customHeight="1">
      <c r="A28" s="476"/>
      <c r="B28" s="478"/>
      <c r="C28" s="480"/>
      <c r="D28" s="21" t="str">
        <f>_xlfn.CONCAT(IF(IFERROR(FIND("素-",第二週!$AB$34),0)=1,"",第二週!$AB$34),IF(OR(第二週!$AB$35=0,IFERROR(FIND("素-",第二週!$AB$35),0)=1),"",","),IF(IFERROR(FIND("素-",第二週!$AB$35),0)=1,"",第二週!$AB$35),IF(OR(第二週!$AB$36=0,IFERROR(FIND("素-",第二週!$AB$36),0)=1),"",","),IF(IFERROR(FIND("素-",第二週!$AB$36),0)=1,"",第二週!$AB$36),IF(OR(第二週!$AB$37=0,IFERROR(FIND("素-",第二週!$AB$37),0)=1),"",","),IF(IFERROR(FIND("素-",第二週!$AB$37),0)=1,"",第二週!$AB$37),IF(OR(第二週!$AB$38=0,IFERROR(FIND("素-",第二週!$AB$38),0)=1),"",","),IF(IFERROR(FIND("素-",第二週!$AB$38),0)=1,"",第二週!$AB$38),IF(OR(第二週!$AB$39=0,IFERROR(FIND("素-",第二週!$AB$39),0)=1),"",","),IF(IFERROR(FIND("素-",第二週!$AB$39),0)=1,"",第二週!$AB$39),IF(OR(第二週!$AB$40=0,IFERROR(FIND("素-",第二週!$AB$40),0)=1),"",","),IF(IFERROR(FIND("素-",第二週!$AB$40),0)=1,"",第二週!$AB$40),IF(OR(第二週!$AB$41=0,IFERROR(FIND("素-",第二週!$AB$41),0)=1),"",","),IF(IFERROR(FIND("素-",第二週!$AB$41),0)=1,"",第二週!$AB$41),IF(OR(第二週!$AB$42=0,IFERROR(FIND("素-",第二週!$AB$42),0)=1),"",","),IF(IFERROR(FIND("素-",第二週!$AB$42),0)=1,"",第二週!$AB$42))</f>
        <v>豬前腿肉,黃豆干,高麗菜,綠豆芽,洋蔥,大蒜</v>
      </c>
      <c r="E28" s="21" t="str">
        <f>_xlfn.CONCAT(IF(IFERROR(FIND("素-",第二週!$AB$49),0)=1,"",第二週!$AB$49),IF(OR(第二週!$AB$50=0,IFERROR(FIND("素-",第二週!$AB$50),0)=1),"",","),IF(IFERROR(FIND("素-",第二週!$AB$50),0)=1,"",第二週!$AB$50),IF(OR(第二週!$AB$51=0,IFERROR(FIND("素-",第二週!$AB$51),0)=1),"",","),IF(IFERROR(FIND("素-",第二週!$AB$51),0)=1,"",第二週!$AB$51),IF(OR(第二週!$AB$52=0,IFERROR(FIND("素-",第二週!$AB$52),0)=1),"",","),IF(IFERROR(FIND("素-",第二週!$AB$52),0)=1,"",第二週!$AB$52),IF(OR(第二週!$AB$53=0,IFERROR(FIND("素-",第二週!$AB$53),0)=1),"",","),IF(IFERROR(FIND("素-",第二週!$AB$53),0)=1,"",第二週!$AB$53),IF(OR(第二週!$AB$54=0,IFERROR(FIND("素-",第二週!$AB$54),0)=1),"",","),IF(IFERROR(FIND("素-",第二週!$AB$54),0)=1,"",第二週!$AB$54),IF(OR(第二週!$AB$55=0,IFERROR(FIND("素-",第二週!$AB$55),0)=1),"",","),IF(IFERROR(FIND("素-",第二週!$AB$55),0)=1,"",第二週!$AB$55))</f>
        <v>安中6/14(五)505停餐(-20)</v>
      </c>
      <c r="F28" s="21" t="str">
        <f>_xlfn.CONCAT(IF(IFERROR(FIND("素-",第二週!$AB$94),0)=1,"",第二週!$AB$94),IF(OR(第二週!$AB$95=0,IFERROR(FIND("素-",第二週!$AB$95),0)=1),"",","),IF(IFERROR(FIND("素-",第二週!$AB$95),0)=1,"",第二週!$AB$95),IF(OR(第二週!$AB$96=0,IFERROR(FIND("素-",第二週!$AB$96),0)=1),"",","),IF(IFERROR(FIND("素-",第二週!$AB$96),0)=1,"",第二週!$AB$96),IF(OR(第二週!$AB$97=0,IFERROR(FIND("素-",第二週!$AB$97),0)=1),"",","),IF(IFERROR(FIND("素-",第二週!$AB$97),0)=1,"",第二週!$AB$97),IF(OR(第二週!$AB$98=0,IFERROR(FIND("素-",第二週!$AB$98),0)=1),"",","),IF(IFERROR(FIND("素-",第二週!$AB$98),0)=1,"",第二週!$AB$98),IF(OR(第二週!$AB$99=0,IFERROR(FIND("素-",第二週!$AB$99),0)=1),"",","),IF(IFERROR(FIND("素-",第二週!$AB$99),0)=1,"",第二週!$AB$99),IF(OR(第二週!$AB$100=0,IFERROR(FIND("素-",第二週!$AB$100),0)=1),"",","),IF(IFERROR(FIND("素-",第二週!$AB$100),0)=1,"",第二週!$AB$100))</f>
        <v>冷凍洋芋,冷凍玉米粒,雞蛋</v>
      </c>
      <c r="G28" s="21" t="str">
        <f>_xlfn.CONCAT(IF(IFERROR(FIND("素-",第二週!$AB$109),0)=1,"",第二週!$AB$109),IF(OR(第二週!$AB$110=0,IFERROR(FIND("素-",第二週!$AB$110),0)=1),"",","),IF(IFERROR(FIND("素-",第二週!$AB$110),0)=1,"",第二週!$AB$110),IF(OR(第二週!$AB$111=0,IFERROR(FIND("素-",第二週!$AB$111),0)=1),"",","),IF(IFERROR(FIND("素-",第二週!$AB$111),0)=1,"",第二週!$AB$111),IF(OR(第二週!$AB$112=0,IFERROR(FIND("素-",第二週!$AB$112),0)=1),"",","),IF(IFERROR(FIND("素-",第二週!$AB$112),0)=1,"",第二週!$AB$112),IF(OR(第二週!$AB$113=0,IFERROR(FIND("素-",第二週!$AB$113),0)=1),"",","),IF(IFERROR(FIND("素-",第二週!$AB$113),0)=1,"",第二週!$AB$113),IF(OR(第二週!$AB$114=0,IFERROR(FIND("素-",第二週!$AB$114),0)=1),"",","),IF(IFERROR(FIND("素-",第二週!$AB$114),0)=1,"",第二週!$AB$114),IF(OR(第二週!$AB$115=0,IFERROR(FIND("素-",第二週!$AB$115),0)=1),"",","),IF(IFERROR(FIND("素-",第二週!$AB$115),0)=1,"",第二週!$AB$115))</f>
        <v>海帶根,九層塔</v>
      </c>
      <c r="H28" s="21" t="str">
        <f>_xlfn.CONCAT(IF(IFERROR(FIND("素-",第二週!$AB$199),0)=1,"",第二週!$AB$199),IF(OR(第二週!$AB$200=0,IFERROR(FIND("素-",第二週!$AB$200),0)=1),"",","),IF(IFERROR(FIND("素-",第二週!$AB$200),0)=1,"",第二週!$AB$200),IF(OR(第二週!$AB$201=0,IFERROR(FIND("素-",第二週!$AB$201),0)=1),"",","),IF(IFERROR(FIND("素-",第二週!$AB$201),0)=1,"",第二週!$AB$201),IF(OR(第二週!$AB$202=0,IFERROR(FIND("素-",第二週!$AB$202),0)=1),"",","),IF(IFERROR(FIND("素-",第二週!$AB$202),0)=1,"",第二週!$AB$202),IF(OR(第二週!$AB$203=0,IFERROR(FIND("素-",第二週!$AB$203),0)=1),"",","),IF(IFERROR(FIND("素-",第二週!$AB$203),0)=1,"",第二週!$AB$203),IF(OR(第二週!$AB$204=0,IFERROR(FIND("素-",第二週!$AB$204),0)=1),"",","),IF(IFERROR(FIND("素-",第二週!$AB$204),0)=1,"",第二週!$AB$204),IF(OR(第二週!$AB$205=0,IFERROR(FIND("素-",第二週!$AB$205),0)=1),"",","),IF(IFERROR(FIND("素-",第二週!$AB$205),0)=1,"",第二週!$AB$205),IF(OR(第二週!$AB$206=0,IFERROR(FIND("素-",第二週!$AB$206),0)=1),"",","),IF(IFERROR(FIND("素-",第二週!$AB$206),0)=1,"",第二週!$AB$206))</f>
        <v>生香菇,冬瓜,大骨</v>
      </c>
      <c r="I28" s="474"/>
      <c r="J28" s="482"/>
      <c r="K28" s="482"/>
      <c r="L28" s="489"/>
      <c r="M28" s="489"/>
      <c r="N28" s="489"/>
      <c r="O28" s="489"/>
      <c r="P28" s="489"/>
      <c r="Q28" s="489"/>
      <c r="R28" s="491"/>
    </row>
    <row r="29" spans="1:18" ht="49.9" customHeight="1">
      <c r="A29" s="475" t="str">
        <f>IF(第二週!$AF$2=0,"",第二週!$AF$2)</f>
        <v/>
      </c>
      <c r="B29" s="477" t="s">
        <v>38</v>
      </c>
      <c r="C29" s="479" t="str">
        <f>IF(第二週!$AF$4=0,"",第二週!$AF$4)</f>
        <v>五穀飯</v>
      </c>
      <c r="D29" s="81" t="str">
        <f>IF(第二週!$AF$34=0,"",第二週!$AF$34)</f>
        <v/>
      </c>
      <c r="E29" s="81" t="str">
        <f>IF(第二週!$AF$49=0,"",第二週!$AF$49)</f>
        <v/>
      </c>
      <c r="F29" s="82" t="str">
        <f>IF(第二週!$AF$94=0,"",第二週!$AF$94)</f>
        <v/>
      </c>
      <c r="G29" s="82" t="str">
        <f>IF(第二週!$AF$109=0,"",第二週!$AF$109)</f>
        <v/>
      </c>
      <c r="H29" s="82" t="str">
        <f>IF(第二週!$AF$199=0,"",第二週!$AF$199)</f>
        <v/>
      </c>
      <c r="I29" s="473" t="str">
        <f>IF(第二週!$AF$184=0,"",第二週!$AF$184)</f>
        <v>清炒時蔬</v>
      </c>
      <c r="J29" s="481" t="str">
        <f>IF(第二週!$AF$214=0,"",第二週!$AF$214)</f>
        <v/>
      </c>
      <c r="K29" s="481" t="str">
        <f>IF(第二週!$AF$234=0,"",第二週!$AF$234)</f>
        <v/>
      </c>
      <c r="L29" s="488" t="str">
        <f>IFERROR(SUMPRODUCT(第二週!$AI$4:$AI$214,第二週!$BV$4:$BV$214)/第二週!$AI$2,"")</f>
        <v/>
      </c>
      <c r="M29" s="488" t="str">
        <f>IFERROR(SUMPRODUCT(第二週!$AI$4:$AI$214,第二週!$BW$4:$BW$214)/第二週!$AI$2,"")</f>
        <v/>
      </c>
      <c r="N29" s="488" t="str">
        <f>IFERROR(SUMPRODUCT(第二週!$AI$4:$AI$214,第二週!$BX$4:$BX$214)/第二週!$AI$2,"")</f>
        <v/>
      </c>
      <c r="O29" s="488" t="str">
        <f>IFERROR(SUMPRODUCT(第二週!$AI$4:$AI$214,第二週!$BY$4:$BY$214)/第二週!$AI$2+2.3,"")</f>
        <v/>
      </c>
      <c r="P29" s="488" t="str">
        <f>IFERROR(SUMPRODUCT(第二週!$AI$4:$AI$214,第二週!$BZ$4:$BZ$214)/第二週!$AI$2,"")</f>
        <v/>
      </c>
      <c r="Q29" s="488" t="str">
        <f>IFERROR(SUMPRODUCT(第二週!$AI$4:$AI$214,第二週!$CA$4:$CA$214)/第二週!$AI$2,"")</f>
        <v/>
      </c>
      <c r="R29" s="490" t="str">
        <f>IFERROR(L29*70+M29*75+N29*25+O29*45+P29*60+Q29*150,"")</f>
        <v/>
      </c>
    </row>
    <row r="30" spans="1:18" s="22" customFormat="1" ht="25.15" customHeight="1">
      <c r="A30" s="476"/>
      <c r="B30" s="478"/>
      <c r="C30" s="480"/>
      <c r="D30" s="21" t="str">
        <f>_xlfn.CONCAT(IF(IFERROR(FIND("素-",第二週!$AG$34),0)=1,"",第二週!$AG$34),IF(OR(第二週!$AG$35=0,IFERROR(FIND("素-",第二週!$AG$35),0)=1),"",","),IF(IFERROR(FIND("素-",第二週!$AG$35),0)=1,"",第二週!$AG$35),IF(OR(第二週!$AG$36=0,IFERROR(FIND("素-",第二週!$AG$36),0)=1),"",","),IF(IFERROR(FIND("素-",第二週!$AG$36),0)=1,"",第二週!$AG$36),IF(OR(第二週!$AG$37=0,IFERROR(FIND("素-",第二週!$AG$37),0)=1),"",","),IF(IFERROR(FIND("素-",第二週!$AG$37),0)=1,"",第二週!$AG$37),IF(OR(第二週!$AG$38=0,IFERROR(FIND("素-",第二週!$AG$38),0)=1),"",","),IF(IFERROR(FIND("素-",第二週!$AG$38),0)=1,"",第二週!$AG$38),IF(OR(第二週!$AG$39=0,IFERROR(FIND("素-",第二週!$AG$39),0)=1),"",","),IF(IFERROR(FIND("素-",第二週!$AG$39),0)=1,"",第二週!$AG$39),IF(OR(第二週!$AG$40=0,IFERROR(FIND("素-",第二週!$AG$40),0)=1),"",","),IF(IFERROR(FIND("素-",第二週!$AG$40),0)=1,"",第二週!$AG$40),IF(OR(第二週!$AG$41=0,IFERROR(FIND("素-",第二週!$AG$41),0)=1),"",","),IF(IFERROR(FIND("素-",第二週!$AG$41),0)=1,"",第二週!$AG$41),IF(OR(第二週!$AG$42=0,IFERROR(FIND("素-",第二週!$AG$42),0)=1),"",","),IF(IFERROR(FIND("素-",第二週!$AG$42),0)=1,"",第二週!$AG$42))</f>
        <v/>
      </c>
      <c r="E30" s="21" t="str">
        <f>_xlfn.CONCAT(IF(IFERROR(FIND("素-",第二週!$AG$49),0)=1,"",第二週!$AG$49),IF(OR(第二週!$AG$50=0,IFERROR(FIND("素-",第二週!$AG$50),0)=1),"",","),IF(IFERROR(FIND("素-",第二週!$AG$50),0)=1,"",第二週!$AG$50),IF(OR(第二週!$AG$51=0,IFERROR(FIND("素-",第二週!$AG$51),0)=1),"",","),IF(IFERROR(FIND("素-",第二週!$AG$51),0)=1,"",第二週!$AG$51),IF(OR(第二週!$AG$52=0,IFERROR(FIND("素-",第二週!$AG$52),0)=1),"",","),IF(IFERROR(FIND("素-",第二週!$AG$52),0)=1,"",第二週!$AG$52),IF(OR(第二週!$AG$53=0,IFERROR(FIND("素-",第二週!$AG$53),0)=1),"",","),IF(IFERROR(FIND("素-",第二週!$AG$53),0)=1,"",第二週!$AG$53),IF(OR(第二週!$AG$54=0,IFERROR(FIND("素-",第二週!$AG$54),0)=1),"",","),IF(IFERROR(FIND("素-",第二週!$AG$54),0)=1,"",第二週!$AG$54),IF(OR(第二週!$AG$55=0,IFERROR(FIND("素-",第二週!$AG$55),0)=1),"",","),IF(IFERROR(FIND("素-",第二週!$AG$55),0)=1,"",第二週!$AG$55))</f>
        <v/>
      </c>
      <c r="F30" s="21" t="str">
        <f>_xlfn.CONCAT(IF(IFERROR(FIND("素-",第二週!$AG$94),0)=1,"",第二週!$AG$94),IF(OR(第二週!$AG$95=0,IFERROR(FIND("素-",第二週!$AG$95),0)=1),"",","),IF(IFERROR(FIND("素-",第二週!$AG$95),0)=1,"",第二週!$AG$95),IF(OR(第二週!$AG$96=0,IFERROR(FIND("素-",第二週!$AG$96),0)=1),"",","),IF(IFERROR(FIND("素-",第二週!$AG$96),0)=1,"",第二週!$AG$96),IF(OR(第二週!$AG$97=0,IFERROR(FIND("素-",第二週!$AG$97),0)=1),"",","),IF(IFERROR(FIND("素-",第二週!$AG$97),0)=1,"",第二週!$AG$97),IF(OR(第二週!$AG$98=0,IFERROR(FIND("素-",第二週!$AG$98),0)=1),"",","),IF(IFERROR(FIND("素-",第二週!$AG$98),0)=1,"",第二週!$AG$98),IF(OR(第二週!$AG$99=0,IFERROR(FIND("素-",第二週!$AG$99),0)=1),"",","),IF(IFERROR(FIND("素-",第二週!$AG$99),0)=1,"",第二週!$AG$99),IF(OR(第二週!$AG$100=0,IFERROR(FIND("素-",第二週!$AG$100),0)=1),"",","),IF(IFERROR(FIND("素-",第二週!$AG$100),0)=1,"",第二週!$AG$100))</f>
        <v/>
      </c>
      <c r="G30" s="21" t="str">
        <f>_xlfn.CONCAT(IF(IFERROR(FIND("素-",第二週!$AG$109),0)=1,"",第二週!$AG$109),IF(OR(第二週!$AG$110=0,IFERROR(FIND("素-",第二週!$AG$110),0)=1),"",","),IF(IFERROR(FIND("素-",第二週!$AG$110),0)=1,"",第二週!$AG$110),IF(OR(第二週!$AG$111=0,IFERROR(FIND("素-",第二週!$AG$111),0)=1),"",","),IF(IFERROR(FIND("素-",第二週!$AG$111),0)=1,"",第二週!$AG$111),IF(OR(第二週!$AG$112=0,IFERROR(FIND("素-",第二週!$AG$112),0)=1),"",","),IF(IFERROR(FIND("素-",第二週!$AG$112),0)=1,"",第二週!$AG$112),IF(OR(第二週!$AG$113=0,IFERROR(FIND("素-",第二週!$AG$113),0)=1),"",","),IF(IFERROR(FIND("素-",第二週!$AG$113),0)=1,"",第二週!$AG$113),IF(OR(第二週!$AG$114=0,IFERROR(FIND("素-",第二週!$AG$114),0)=1),"",","),IF(IFERROR(FIND("素-",第二週!$AG$114),0)=1,"",第二週!$AG$114),IF(OR(第二週!$AG$115=0,IFERROR(FIND("素-",第二週!$AG$115),0)=1),"",","),IF(IFERROR(FIND("素-",第二週!$AG$115),0)=1,"",第二週!$AG$115))</f>
        <v/>
      </c>
      <c r="H30" s="21" t="str">
        <f>_xlfn.CONCAT(IF(IFERROR(FIND("素-",第二週!$AG$199),0)=1,"",第二週!$AG$199),IF(OR(第二週!$AG$200=0,IFERROR(FIND("素-",第二週!$AG$200),0)=1),"",","),IF(IFERROR(FIND("素-",第二週!$AG$200),0)=1,"",第二週!$AG$200),IF(OR(第二週!$AG$201=0,IFERROR(FIND("素-",第二週!$AG$201),0)=1),"",","),IF(IFERROR(FIND("素-",第二週!$AG$201),0)=1,"",第二週!$AG$201),IF(OR(第二週!$AG$202=0,IFERROR(FIND("素-",第二週!$AG$202),0)=1),"",","),IF(IFERROR(FIND("素-",第二週!$AG$202),0)=1,"",第二週!$AG$202),IF(OR(第二週!$AG$203=0,IFERROR(FIND("素-",第二週!$AG$203),0)=1),"",","),IF(IFERROR(FIND("素-",第二週!$AG$203),0)=1,"",第二週!$AG$203),IF(OR(第二週!$AG$204=0,IFERROR(FIND("素-",第二週!$AG$204),0)=1),"",","),IF(IFERROR(FIND("素-",第二週!$AG$204),0)=1,"",第二週!$AG$204),IF(OR(第二週!$AG$205=0,IFERROR(FIND("素-",第二週!$AG$205),0)=1),"",","),IF(IFERROR(FIND("素-",第二週!$AG$205),0)=1,"",第二週!$AG$205),IF(OR(第二週!$AG$206=0,IFERROR(FIND("素-",第二週!$AG$206),0)=1),"",","),IF(IFERROR(FIND("素-",第二週!$AG$206),0)=1,"",第二週!$AG$206))</f>
        <v/>
      </c>
      <c r="I30" s="474"/>
      <c r="J30" s="482"/>
      <c r="K30" s="482"/>
      <c r="L30" s="489"/>
      <c r="M30" s="489"/>
      <c r="N30" s="489"/>
      <c r="O30" s="489"/>
      <c r="P30" s="489"/>
      <c r="Q30" s="489"/>
      <c r="R30" s="491"/>
    </row>
    <row r="31" spans="1:18" ht="49.9" customHeight="1">
      <c r="A31" s="475"/>
      <c r="B31" s="477" t="s">
        <v>39</v>
      </c>
      <c r="C31" s="479"/>
      <c r="D31" s="81"/>
      <c r="E31" s="81"/>
      <c r="F31" s="81"/>
      <c r="G31" s="81"/>
      <c r="H31" s="81"/>
      <c r="I31" s="473"/>
      <c r="J31" s="481"/>
      <c r="K31" s="481"/>
      <c r="L31" s="492"/>
      <c r="M31" s="492"/>
      <c r="N31" s="492"/>
      <c r="O31" s="492"/>
      <c r="P31" s="492"/>
      <c r="Q31" s="492"/>
      <c r="R31" s="490"/>
    </row>
    <row r="32" spans="1:18" s="22" customFormat="1" ht="25.15" customHeight="1">
      <c r="A32" s="476"/>
      <c r="B32" s="478"/>
      <c r="C32" s="480"/>
      <c r="D32" s="21"/>
      <c r="E32" s="21"/>
      <c r="F32" s="21"/>
      <c r="G32" s="21"/>
      <c r="H32" s="21"/>
      <c r="I32" s="474"/>
      <c r="J32" s="482"/>
      <c r="K32" s="482"/>
      <c r="L32" s="493"/>
      <c r="M32" s="493"/>
      <c r="N32" s="493"/>
      <c r="O32" s="493"/>
      <c r="P32" s="493"/>
      <c r="Q32" s="493"/>
      <c r="R32" s="491"/>
    </row>
    <row r="33" spans="1:18" ht="49.9" customHeight="1">
      <c r="A33" s="475">
        <f>IF(第三週!$G$2=0,"",第三週!$G$2)</f>
        <v>45460</v>
      </c>
      <c r="B33" s="477" t="s">
        <v>22</v>
      </c>
      <c r="C33" s="479" t="str">
        <f>IF(第三週!$G$4=0,"",第三週!$G$4)</f>
        <v>白飯</v>
      </c>
      <c r="D33" s="81" t="str">
        <f>IF(第三週!$G$34=0,"",第三週!$G$34)</f>
        <v>油腐滷肉</v>
      </c>
      <c r="E33" s="81" t="str">
        <f>IF(第三週!$G$49=0,"",第三週!$G$49)</f>
        <v/>
      </c>
      <c r="F33" s="82" t="str">
        <f>IF(第三週!$G$94=0,"",第三週!$G$94)</f>
        <v>起司焗蔬</v>
      </c>
      <c r="G33" s="82" t="str">
        <f>IF(第三週!$G$109=0,"",第三週!$G$109)</f>
        <v>洋蔥炒蛋</v>
      </c>
      <c r="H33" s="82" t="str">
        <f>IF(第三週!$G$199=0,"",第三週!$G$199)</f>
        <v>鹹湯圓</v>
      </c>
      <c r="I33" s="473" t="str">
        <f>IF(第三週!$G$184=0,"",第三週!$G$184)</f>
        <v>清炒時蔬</v>
      </c>
      <c r="J33" s="481" t="str">
        <f>IF(第三週!$G$214=0,"",第三週!$G$214)</f>
        <v>果汁</v>
      </c>
      <c r="K33" s="481" t="str">
        <f>IF(第三週!$G$234=0,"",第三週!$G$234)</f>
        <v/>
      </c>
      <c r="L33" s="488">
        <f>IFERROR(SUMPRODUCT(第三週!$J$4:$J$214,第三週!$AM$4:$AM$214)/第三週!$J$2,"")</f>
        <v>0</v>
      </c>
      <c r="M33" s="488">
        <f>IFERROR(SUMPRODUCT(第三週!$J$4:$J$214,第三週!$AN$4:$AN$214)/第三週!$J$2,"")</f>
        <v>0</v>
      </c>
      <c r="N33" s="488">
        <f>IFERROR(SUMPRODUCT(第三週!$J$4:$J$214,第三週!$AO$4:$AO$214)/第三週!$J$2,"")</f>
        <v>0</v>
      </c>
      <c r="O33" s="488">
        <f>IFERROR(SUMPRODUCT(第三週!$J$4:$J$214,第三週!$AP$4:$AP$214)/第三週!$J$2+2.3,"")</f>
        <v>2.2999999999999998</v>
      </c>
      <c r="P33" s="488">
        <f>IFERROR(SUMPRODUCT(第三週!$J$4:$J$214,第三週!$AQ$4:$AQ$214)/第三週!$J$2,"")</f>
        <v>0</v>
      </c>
      <c r="Q33" s="488">
        <f>IFERROR(SUMPRODUCT(第三週!$J$4:$J$214,第三週!$AR$4:$AR$214)/第三週!$J$2,"")</f>
        <v>0</v>
      </c>
      <c r="R33" s="490">
        <f>IFERROR(L33*70+M33*75+N33*25+O33*45+P33*60+Q33*150,"")</f>
        <v>103.49999999999999</v>
      </c>
    </row>
    <row r="34" spans="1:18" s="22" customFormat="1" ht="25.15" customHeight="1">
      <c r="A34" s="476"/>
      <c r="B34" s="478"/>
      <c r="C34" s="480"/>
      <c r="D34" s="21" t="str">
        <f>_xlfn.CONCAT(IF(IFERROR(FIND("素-",第三週!$H$34),0)=1,"",第三週!$H$34),IF(OR(第三週!$H$35=0,IFERROR(FIND("素-",第三週!$H$35),0)=1),"",","),IF(IFERROR(FIND("素-",第三週!$H$35),0)=1,"",第三週!$H$35),IF(OR(第三週!$H$36=0,IFERROR(FIND("素-",第三週!$H$36),0)=1),"",","),IF(IFERROR(FIND("素-",第三週!$H$36),0)=1,"",第三週!$H$36),IF(OR(第三週!$H$37=0,IFERROR(FIND("素-",第三週!$H$37),0)=1),"",","),IF(IFERROR(FIND("素-",第三週!$H$37),0)=1,"",第三週!$H$37),IF(OR(第三週!$H$38=0,IFERROR(FIND("素-",第三週!$H$38),0)=1),"",","),IF(IFERROR(FIND("素-",第三週!$H$38),0)=1,"",第三週!$H$38),IF(OR(第三週!$H$39=0,IFERROR(FIND("素-",第三週!$H$39),0)=1),"",","),IF(IFERROR(FIND("素-",第三週!$H$39),0)=1,"",第三週!$H$39),IF(OR(第三週!$H$40=0,IFERROR(FIND("素-",第三週!$H$40),0)=1),"",","),IF(IFERROR(FIND("素-",第三週!$H$40),0)=1,"",第三週!$H$40),IF(OR(第三週!$H$41=0,IFERROR(FIND("素-",第三週!$H$41),0)=1),"",","),IF(IFERROR(FIND("素-",第三週!$H$41),0)=1,"",第三週!$H$41),IF(OR(第三週!$H$42=0,IFERROR(FIND("素-",第三週!$H$42),0)=1),"",","),IF(IFERROR(FIND("素-",第三週!$H$42),0)=1,"",第三週!$H$42))</f>
        <v>豬前腿肉,油豆腐</v>
      </c>
      <c r="E34" s="21" t="str">
        <f>_xlfn.CONCAT(IF(IFERROR(FIND("素-",第三週!$H$49),0)=1,"",第三週!$H$49),IF(OR(第三週!$H$50=0,IFERROR(FIND("素-",第三週!$H$50),0)=1),"",","),IF(IFERROR(FIND("素-",第三週!$H$50),0)=1,"",第三週!$H$50),IF(OR(第三週!$H$51=0,IFERROR(FIND("素-",第三週!$H$51),0)=1),"",","),IF(IFERROR(FIND("素-",第三週!$H$51),0)=1,"",第三週!$H$51),IF(OR(第三週!$H$52=0,IFERROR(FIND("素-",第三週!$H$52),0)=1),"",","),IF(IFERROR(FIND("素-",第三週!$H$52),0)=1,"",第三週!$H$52),IF(OR(第三週!$H$53=0,IFERROR(FIND("素-",第三週!$H$53),0)=1),"",","),IF(IFERROR(FIND("素-",第三週!$H$53),0)=1,"",第三週!$H$53),IF(OR(第三週!$H$54=0,IFERROR(FIND("素-",第三週!$H$54),0)=1),"",","),IF(IFERROR(FIND("素-",第三週!$H$54),0)=1,"",第三週!$H$54),IF(OR(第三週!$H$55=0,IFERROR(FIND("素-",第三週!$H$55),0)=1),"",","),IF(IFERROR(FIND("素-",第三週!$H$55),0)=1,"",第三週!$H$55))</f>
        <v>長樂(-74)、安小(-68)畢業生最後用餐日</v>
      </c>
      <c r="F34" s="21" t="str">
        <f>_xlfn.CONCAT(IF(IFERROR(FIND("素-",第三週!$H$94),0)=1,"",第三週!$H$94),IF(OR(第三週!$H$95=0,IFERROR(FIND("素-",第三週!$H$95),0)=1),"",","),IF(IFERROR(FIND("素-",第三週!$H$95),0)=1,"",第三週!$H$95),IF(OR(第三週!$H$96=0,IFERROR(FIND("素-",第三週!$H$96),0)=1),"",","),IF(IFERROR(FIND("素-",第三週!$H$96),0)=1,"",第三週!$H$96),IF(OR(第三週!$H$97=0,IFERROR(FIND("素-",第三週!$H$97),0)=1),"",","),IF(IFERROR(FIND("素-",第三週!$H$97),0)=1,"",第三週!$H$97),IF(OR(第三週!$H$98=0,IFERROR(FIND("素-",第三週!$H$98),0)=1),"",","),IF(IFERROR(FIND("素-",第三週!$H$98),0)=1,"",第三週!$H$98),IF(OR(第三週!$H$99=0,IFERROR(FIND("素-",第三週!$H$99),0)=1),"",","),IF(IFERROR(FIND("素-",第三週!$H$99),0)=1,"",第三週!$H$99),IF(OR(第三週!$H$100=0,IFERROR(FIND("素-",第三週!$H$100),0)=1),"",","),IF(IFERROR(FIND("素-",第三週!$H$100),0)=1,"",第三週!$H$100))</f>
        <v>冷凍玉米粒,冷凍洋芋,冷凍胡蘿蔔,乳酪絲,青椒,紅甜椒</v>
      </c>
      <c r="G34" s="21" t="str">
        <f>_xlfn.CONCAT(IF(IFERROR(FIND("素-",第三週!$H$109),0)=1,"",第三週!$H$109),IF(OR(第三週!$H$110=0,IFERROR(FIND("素-",第三週!$H$110),0)=1),"",","),IF(IFERROR(FIND("素-",第三週!$H$110),0)=1,"",第三週!$H$110),IF(OR(第三週!$H$111=0,IFERROR(FIND("素-",第三週!$H$111),0)=1),"",","),IF(IFERROR(FIND("素-",第三週!$H$111),0)=1,"",第三週!$H$111),IF(OR(第三週!$H$112=0,IFERROR(FIND("素-",第三週!$H$112),0)=1),"",","),IF(IFERROR(FIND("素-",第三週!$H$112),0)=1,"",第三週!$H$112),IF(OR(第三週!$H$113=0,IFERROR(FIND("素-",第三週!$H$113),0)=1),"",","),IF(IFERROR(FIND("素-",第三週!$H$113),0)=1,"",第三週!$H$113),IF(OR(第三週!$H$114=0,IFERROR(FIND("素-",第三週!$H$114),0)=1),"",","),IF(IFERROR(FIND("素-",第三週!$H$114),0)=1,"",第三週!$H$114),IF(OR(第三週!$H$115=0,IFERROR(FIND("素-",第三週!$H$115),0)=1),"",","),IF(IFERROR(FIND("素-",第三週!$H$115),0)=1,"",第三週!$H$115))</f>
        <v>洋蔥,雞蛋</v>
      </c>
      <c r="H34" s="21" t="str">
        <f>_xlfn.CONCAT(IF(IFERROR(FIND("素-",第三週!$H$199),0)=1,"",第三週!$H$199),IF(OR(第三週!$H$200=0,IFERROR(FIND("素-",第三週!$H$200),0)=1),"",","),IF(IFERROR(FIND("素-",第三週!$H$200),0)=1,"",第三週!$H$200),IF(OR(第三週!$H$201=0,IFERROR(FIND("素-",第三週!$H$201),0)=1),"",","),IF(IFERROR(FIND("素-",第三週!$H$201),0)=1,"",第三週!$H$201),IF(OR(第三週!$H$202=0,IFERROR(FIND("素-",第三週!$H$202),0)=1),"",","),IF(IFERROR(FIND("素-",第三週!$H$202),0)=1,"",第三週!$H$202),IF(OR(第三週!$H$203=0,IFERROR(FIND("素-",第三週!$H$203),0)=1),"",","),IF(IFERROR(FIND("素-",第三週!$H$203),0)=1,"",第三週!$H$203),IF(OR(第三週!$H$204=0,IFERROR(FIND("素-",第三週!$H$204),0)=1),"",","),IF(IFERROR(FIND("素-",第三週!$H$204),0)=1,"",第三週!$H$204),IF(OR(第三週!$H$205=0,IFERROR(FIND("素-",第三週!$H$205),0)=1),"",","),IF(IFERROR(FIND("素-",第三週!$H$205),0)=1,"",第三週!$H$205),IF(OR(第三週!$H$206=0,IFERROR(FIND("素-",第三週!$H$206),0)=1),"",","),IF(IFERROR(FIND("素-",第三週!$H$206),0)=1,"",第三週!$H$206))</f>
        <v>豬前腿肉,小湯圓,油蔥酥,乾香菇絲,雞蛋,蝦米,芹菜</v>
      </c>
      <c r="I34" s="474"/>
      <c r="J34" s="482"/>
      <c r="K34" s="482"/>
      <c r="L34" s="489"/>
      <c r="M34" s="489"/>
      <c r="N34" s="489"/>
      <c r="O34" s="489"/>
      <c r="P34" s="489"/>
      <c r="Q34" s="489"/>
      <c r="R34" s="491"/>
    </row>
    <row r="35" spans="1:18" ht="49.9" customHeight="1">
      <c r="A35" s="475">
        <f>IF(第三週!$L$2=0,"",第三週!$L$2)</f>
        <v>45461</v>
      </c>
      <c r="B35" s="477" t="s">
        <v>23</v>
      </c>
      <c r="C35" s="479" t="str">
        <f>IF(第三週!$L$4=0,"",第三週!$L$4)</f>
        <v>白飯</v>
      </c>
      <c r="D35" s="81" t="str">
        <f>IF(第三週!$L$34=0,"",第三週!$L$34)</f>
        <v>茄汁雞丁</v>
      </c>
      <c r="E35" s="81" t="str">
        <f>IF(第三週!$L$49=0,"",第三週!$L$49)</f>
        <v/>
      </c>
      <c r="F35" s="82" t="str">
        <f>IF(第三週!$L$94=0,"",第三週!$L$94)</f>
        <v>芹香素雞</v>
      </c>
      <c r="G35" s="82" t="str">
        <f>IF(第三週!$L$109=0,"",第三週!$L$109)</f>
        <v>角螺白菜</v>
      </c>
      <c r="H35" s="82" t="str">
        <f>IF(第三週!$L$199=0,"",第三週!$L$199)</f>
        <v>玉米豆腐湯</v>
      </c>
      <c r="I35" s="473" t="str">
        <f>IF(第三週!$L$184=0,"",第三週!$L$184)</f>
        <v>清炒時蔬</v>
      </c>
      <c r="J35" s="481" t="str">
        <f>IF(第三週!$L$214=0,"",第三週!$L$214)</f>
        <v>牛奶</v>
      </c>
      <c r="K35" s="481" t="str">
        <f>IF(第三週!$L$234=0,"",第三週!$L$234)</f>
        <v/>
      </c>
      <c r="L35" s="488">
        <f>IFERROR(SUMPRODUCT(第三週!$O$4:$O$214,第三週!$AT$4:$AT$214)/第三週!$O$2,"")</f>
        <v>0</v>
      </c>
      <c r="M35" s="488">
        <f>IFERROR(SUMPRODUCT(第三週!$O$4:$O$214,第三週!$AU$4:$AU$214)/第三週!$O$2,"")</f>
        <v>0</v>
      </c>
      <c r="N35" s="488">
        <f>IFERROR(SUMPRODUCT(第三週!$O$4:$O$214,第三週!$AV$4:$AV$214)/第三週!$O$2,"")</f>
        <v>0</v>
      </c>
      <c r="O35" s="488">
        <f>IFERROR(SUMPRODUCT(第三週!$O$4:$O$214,第三週!$AW$4:$AW$214)/第三週!$O$2+2.3,"")</f>
        <v>2.2999999999999998</v>
      </c>
      <c r="P35" s="488">
        <f>IFERROR(SUMPRODUCT(第三週!$O$4:$O$214,第三週!$AX$4:$AX$214)/第三週!$O$2,"")</f>
        <v>0</v>
      </c>
      <c r="Q35" s="488">
        <f>IFERROR(SUMPRODUCT(第三週!$O$4:$O$214,第三週!$AY$4:$AY$214)/第三週!$O$2,"")</f>
        <v>0</v>
      </c>
      <c r="R35" s="490">
        <f>IFERROR(L35*70+M35*75+N35*25+O35*45+P35*60+Q35*150,"")</f>
        <v>103.49999999999999</v>
      </c>
    </row>
    <row r="36" spans="1:18" s="22" customFormat="1" ht="25.15" customHeight="1">
      <c r="A36" s="476"/>
      <c r="B36" s="478"/>
      <c r="C36" s="480"/>
      <c r="D36" s="21" t="str">
        <f>_xlfn.CONCAT(IF(IFERROR(FIND("素-",第三週!$M$34),0)=1,"",第三週!$M$34),IF(OR(第三週!$M$35=0,IFERROR(FIND("素-",第三週!$M$35),0)=1),"",","),IF(IFERROR(FIND("素-",第三週!$M$35),0)=1,"",第三週!$M$35),IF(OR(第三週!$M$36=0,IFERROR(FIND("素-",第三週!$M$36),0)=1),"",","),IF(IFERROR(FIND("素-",第三週!$M$36),0)=1,"",第三週!$M$36),IF(OR(第三週!$M$37=0,IFERROR(FIND("素-",第三週!$M$37),0)=1),"",","),IF(IFERROR(FIND("素-",第三週!$M$37),0)=1,"",第三週!$M$37),IF(OR(第三週!$M$38=0,IFERROR(FIND("素-",第三週!$M$38),0)=1),"",","),IF(IFERROR(FIND("素-",第三週!$M$38),0)=1,"",第三週!$M$38),IF(OR(第三週!$M$39=0,IFERROR(FIND("素-",第三週!$M$39),0)=1),"",","),IF(IFERROR(FIND("素-",第三週!$M$39),0)=1,"",第三週!$M$39),IF(OR(第三週!$M$40=0,IFERROR(FIND("素-",第三週!$M$40),0)=1),"",","),IF(IFERROR(FIND("素-",第三週!$M$40),0)=1,"",第三週!$M$40),IF(OR(第三週!$M$41=0,IFERROR(FIND("素-",第三週!$M$41),0)=1),"",","),IF(IFERROR(FIND("素-",第三週!$M$41),0)=1,"",第三週!$M$41),IF(OR(第三週!$M$42=0,IFERROR(FIND("素-",第三週!$M$42),0)=1),"",","),IF(IFERROR(FIND("素-",第三週!$M$42),0)=1,"",第三週!$M$42))</f>
        <v>骨腿,雞清胸肉,番茄,凍豆腐,番茄醬</v>
      </c>
      <c r="E36" s="21" t="str">
        <f>_xlfn.CONCAT(IF(IFERROR(FIND("素-",第三週!$M$49),0)=1,"",第三週!$M$49),IF(OR(第三週!$M$50=0,IFERROR(FIND("素-",第三週!$M$50),0)=1),"",","),IF(IFERROR(FIND("素-",第三週!$M$50),0)=1,"",第三週!$M$50),IF(OR(第三週!$M$51=0,IFERROR(FIND("素-",第三週!$M$51),0)=1),"",","),IF(IFERROR(FIND("素-",第三週!$M$51),0)=1,"",第三週!$M$51),IF(OR(第三週!$M$52=0,IFERROR(FIND("素-",第三週!$M$52),0)=1),"",","),IF(IFERROR(FIND("素-",第三週!$M$52),0)=1,"",第三週!$M$52),IF(OR(第三週!$M$53=0,IFERROR(FIND("素-",第三週!$M$53),0)=1),"",","),IF(IFERROR(FIND("素-",第三週!$M$53),0)=1,"",第三週!$M$53),IF(OR(第三週!$M$54=0,IFERROR(FIND("素-",第三週!$M$54),0)=1),"",","),IF(IFERROR(FIND("素-",第三週!$M$54),0)=1,"",第三週!$M$54),IF(OR(第三週!$M$55=0,IFERROR(FIND("素-",第三週!$M$55),0)=1),"",","),IF(IFERROR(FIND("素-",第三週!$M$55),0)=1,"",第三週!$M$55))</f>
        <v/>
      </c>
      <c r="F36" s="23" t="str">
        <f>_xlfn.CONCAT(IF(IFERROR(FIND("素-",第三週!$M$94),0)=1,"",第三週!$M$94),IF(OR(第三週!$M$95=0,IFERROR(FIND("素-",第三週!$M$95),0)=1),"",","),IF(IFERROR(FIND("素-",第三週!$M$95),0)=1,"",第三週!$M$95),IF(OR(第三週!$M$96=0,IFERROR(FIND("素-",第三週!$M$96),0)=1),"",","),IF(IFERROR(FIND("素-",第三週!$M$96),0)=1,"",第三週!$M$96),IF(OR(第三週!$M$97=0,IFERROR(FIND("素-",第三週!$M$97),0)=1),"",","),IF(IFERROR(FIND("素-",第三週!$M$97),0)=1,"",第三週!$M$97),IF(OR(第三週!$M$98=0,IFERROR(FIND("素-",第三週!$M$98),0)=1),"",","),IF(IFERROR(FIND("素-",第三週!$M$98),0)=1,"",第三週!$M$98),IF(OR(第三週!$M$99=0,IFERROR(FIND("素-",第三週!$M$99),0)=1),"",","),IF(IFERROR(FIND("素-",第三週!$M$99),0)=1,"",第三週!$M$99),IF(OR(第三週!$M$100=0,IFERROR(FIND("素-",第三週!$M$100),0)=1),"",","),IF(IFERROR(FIND("素-",第三週!$M$100),0)=1,"",第三週!$M$100))</f>
        <v>西洋芹,素雞,胡蘿蔔</v>
      </c>
      <c r="G36" s="21" t="str">
        <f>_xlfn.CONCAT(IF(IFERROR(FIND("素-",第三週!$M$109),0)=1,"",第三週!$M$109),IF(OR(第三週!$M$110=0,IFERROR(FIND("素-",第三週!$M$110),0)=1),"",","),IF(IFERROR(FIND("素-",第三週!$M$110),0)=1,"",第三週!$M$110),IF(OR(第三週!$M$111=0,IFERROR(FIND("素-",第三週!$M$111),0)=1),"",","),IF(IFERROR(FIND("素-",第三週!$M$111),0)=1,"",第三週!$M$111),IF(OR(第三週!$M$112=0,IFERROR(FIND("素-",第三週!$M$112),0)=1),"",","),IF(IFERROR(FIND("素-",第三週!$M$112),0)=1,"",第三週!$M$112),IF(OR(第三週!$M$113=0,IFERROR(FIND("素-",第三週!$M$113),0)=1),"",","),IF(IFERROR(FIND("素-",第三週!$M$113),0)=1,"",第三週!$M$113),IF(OR(第三週!$M$114=0,IFERROR(FIND("素-",第三週!$M$114),0)=1),"",","),IF(IFERROR(FIND("素-",第三週!$M$114),0)=1,"",第三週!$M$114),IF(OR(第三週!$M$115=0,IFERROR(FIND("素-",第三週!$M$115),0)=1),"",","),IF(IFERROR(FIND("素-",第三週!$M$115),0)=1,"",第三週!$M$115))</f>
        <v>大白菜,角螺,胡蘿蔔</v>
      </c>
      <c r="H36" s="21" t="str">
        <f>_xlfn.CONCAT(IF(IFERROR(FIND("素-",第三週!$M$199),0)=1,"",第三週!$M$199),IF(OR(第三週!$M$200=0,IFERROR(FIND("素-",第三週!$M$200),0)=1),"",","),IF(IFERROR(FIND("素-",第三週!$M$200),0)=1,"",第三週!$M$200),IF(OR(第三週!$M$201=0,IFERROR(FIND("素-",第三週!$M$201),0)=1),"",","),IF(IFERROR(FIND("素-",第三週!$M$201),0)=1,"",第三週!$M$201),IF(OR(第三週!$M$202=0,IFERROR(FIND("素-",第三週!$M$202),0)=1),"",","),IF(IFERROR(FIND("素-",第三週!$M$202),0)=1,"",第三週!$M$202),IF(OR(第三週!$M$203=0,IFERROR(FIND("素-",第三週!$M$203),0)=1),"",","),IF(IFERROR(FIND("素-",第三週!$M$203),0)=1,"",第三週!$M$203),IF(OR(第三週!$M$204=0,IFERROR(FIND("素-",第三週!$M$204),0)=1),"",","),IF(IFERROR(FIND("素-",第三週!$M$204),0)=1,"",第三週!$M$204),IF(OR(第三週!$M$205=0,IFERROR(FIND("素-",第三週!$M$205),0)=1),"",","),IF(IFERROR(FIND("素-",第三週!$M$205),0)=1,"",第三週!$M$205),IF(OR(第三週!$M$206=0,IFERROR(FIND("素-",第三週!$M$206),0)=1),"",","),IF(IFERROR(FIND("素-",第三週!$M$206),0)=1,"",第三週!$M$206))</f>
        <v>冷凍玉米粒,板豆腐,中排</v>
      </c>
      <c r="I36" s="474"/>
      <c r="J36" s="482"/>
      <c r="K36" s="482"/>
      <c r="L36" s="489"/>
      <c r="M36" s="489"/>
      <c r="N36" s="489"/>
      <c r="O36" s="489"/>
      <c r="P36" s="489"/>
      <c r="Q36" s="489"/>
      <c r="R36" s="491"/>
    </row>
    <row r="37" spans="1:18" ht="49.9" customHeight="1">
      <c r="A37" s="475">
        <f>IF(第三週!$Q$2=0,"",第三週!$Q$2)</f>
        <v>45462</v>
      </c>
      <c r="B37" s="477" t="s">
        <v>24</v>
      </c>
      <c r="C37" s="479" t="str">
        <f>IF(第三週!$Q$4=0,"",第三週!$Q$4)</f>
        <v>黃油麵</v>
      </c>
      <c r="D37" s="81" t="str">
        <f>IF(第三週!$Q$34=0,"",第三週!$Q$34)</f>
        <v>豬肉秀菇燴麵</v>
      </c>
      <c r="E37" s="81" t="str">
        <f>IF(第三週!$Q$49=0,"",第三週!$Q$49)</f>
        <v>芝麻包</v>
      </c>
      <c r="F37" s="82"/>
      <c r="G37" s="82" t="str">
        <f>IF(第三週!$Q$109=0,"",第三週!$Q$109)</f>
        <v>杏鮑菇洋芋</v>
      </c>
      <c r="H37" s="82" t="str">
        <f>IF(第三週!$Q$199=0,"",第三週!$Q$199)</f>
        <v>Q圓芋頭湯</v>
      </c>
      <c r="I37" s="473" t="str">
        <f>IF(第三週!$Q$184=0,"",第三週!$Q$184)</f>
        <v>清炒時蔬</v>
      </c>
      <c r="J37" s="481" t="str">
        <f>IF(第三週!$Q$214=0,"",第三週!$Q$214)</f>
        <v>水果</v>
      </c>
      <c r="K37" s="481" t="str">
        <f>IF(第三週!$Q$234=0,"",第三週!$Q$234)</f>
        <v/>
      </c>
      <c r="L37" s="488">
        <f>IFERROR(SUMPRODUCT(第三週!$T$4:$T$214,第三週!$BA$4:$BA$214)/第三週!$T$2,"")</f>
        <v>0</v>
      </c>
      <c r="M37" s="488">
        <f>IFERROR(SUMPRODUCT(第三週!$T$4:$T$214,第三週!$BB$4:$BB$214)/第三週!$T$2,"")</f>
        <v>0</v>
      </c>
      <c r="N37" s="488">
        <f>IFERROR(SUMPRODUCT(第三週!$T$4:$T$214,第三週!$BC$4:$BC$214)/第三週!$T$2,"")</f>
        <v>0</v>
      </c>
      <c r="O37" s="488">
        <f>IFERROR(SUMPRODUCT(第三週!$T$4:$T$214,第三週!$BD$4:$BD$214)/第三週!$T$2+2.3,"")</f>
        <v>2.2999999999999998</v>
      </c>
      <c r="P37" s="488">
        <f>IFERROR(SUMPRODUCT(第三週!$T$4:$T$214,第三週!$BE$4:$BE$214)/第三週!$T$2,"")</f>
        <v>0</v>
      </c>
      <c r="Q37" s="488">
        <f>IFERROR(SUMPRODUCT(第三週!$T$4:$T$214,第三週!$BF$4:$BF$214)/第三週!$T$2,"")</f>
        <v>0</v>
      </c>
      <c r="R37" s="490">
        <f>IFERROR(L37*70+M37*75+N37*25+O37*45+P37*60+Q37*150,"")</f>
        <v>103.49999999999999</v>
      </c>
    </row>
    <row r="38" spans="1:18" s="22" customFormat="1" ht="25.15" customHeight="1">
      <c r="A38" s="476"/>
      <c r="B38" s="478"/>
      <c r="C38" s="480"/>
      <c r="D38" s="21" t="str">
        <f>_xlfn.CONCAT(IF(IFERROR(FIND("素-",第三週!$R$34),0)=1,"",第三週!$R$34),IF(OR(第三週!$R$35=0,IFERROR(FIND("素-",第三週!$R$35),0)=1),"",","),IF(IFERROR(FIND("素-",第三週!$R$35),0)=1,"",第三週!$R$35),IF(OR(第三週!$R$36=0,IFERROR(FIND("素-",第三週!$R$36),0)=1),"",","),IF(IFERROR(FIND("素-",第三週!$R$36),0)=1,"",第三週!$R$36),IF(OR(第三週!$R$37=0,IFERROR(FIND("素-",第三週!$R$37),0)=1),"",","),IF(IFERROR(FIND("素-",第三週!$R$37),0)=1,"",第三週!$R$37),IF(OR(第三週!$R$38=0,IFERROR(FIND("素-",第三週!$R$38),0)=1),"",","),IF(IFERROR(FIND("素-",第三週!$R$38),0)=1,"",第三週!$R$38),IF(OR(第三週!$R$39=0,IFERROR(FIND("素-",第三週!$R$39),0)=1),"",","),IF(IFERROR(FIND("素-",第三週!$R$39),0)=1,"",第三週!$R$39),IF(OR(第三週!$R$40=0,IFERROR(FIND("素-",第三週!$R$40),0)=1),"",","),IF(IFERROR(FIND("素-",第三週!$R$40),0)=1,"",第三週!$R$40),IF(OR(第三週!$R$41=0,IFERROR(FIND("素-",第三週!$R$41),0)=1),"",","),IF(IFERROR(FIND("素-",第三週!$R$41),0)=1,"",第三週!$R$41),IF(OR(第三週!$R$42=0,IFERROR(FIND("素-",第三週!$R$42),0)=1),"",","),IF(IFERROR(FIND("素-",第三週!$R$42),0)=1,"",第三週!$R$42))</f>
        <v>豬前腿肉,秀珍菇,洋蔥,冷凍玉米粒,胡蘿蔔,高麗菜</v>
      </c>
      <c r="E38" s="21" t="str">
        <f>_xlfn.CONCAT(IF(IFERROR(FIND("素-",第三週!$R$49),0)=1,"",第三週!$R$49),IF(OR(第三週!$R$50=0,IFERROR(FIND("素-",第三週!$R$50),0)=1),"",","),IF(IFERROR(FIND("素-",第三週!$R$50),0)=1,"",第三週!$R$50),IF(OR(第三週!$R$51=0,IFERROR(FIND("素-",第三週!$R$51),0)=1),"",","),IF(IFERROR(FIND("素-",第三週!$R$51),0)=1,"",第三週!$R$51),IF(OR(第三週!$R$52=0,IFERROR(FIND("素-",第三週!$R$52),0)=1),"",","),IF(IFERROR(FIND("素-",第三週!$R$52),0)=1,"",第三週!$R$52),IF(OR(第三週!$R$53=0,IFERROR(FIND("素-",第三週!$R$53),0)=1),"",","),IF(IFERROR(FIND("素-",第三週!$R$53),0)=1,"",第三週!$R$53),IF(OR(第三週!$R$54=0,IFERROR(FIND("素-",第三週!$R$54),0)=1),"",","),IF(IFERROR(FIND("素-",第三週!$R$54),0)=1,"",第三週!$R$54),IF(OR(第三週!$R$55=0,IFERROR(FIND("素-",第三週!$R$55),0)=1),"",","),IF(IFERROR(FIND("素-",第三週!$R$55),0)=1,"",第三週!$R$55))</f>
        <v>芝麻包</v>
      </c>
      <c r="F38" s="21"/>
      <c r="G38" s="21" t="str">
        <f>_xlfn.CONCAT(IF(IFERROR(FIND("素-",第三週!$R$109),0)=1,"",第三週!$R$109),IF(OR(第三週!$R$110=0,IFERROR(FIND("素-",第三週!$R$110),0)=1),"",","),IF(IFERROR(FIND("素-",第三週!$R$110),0)=1,"",第三週!$R$110),IF(OR(第三週!$R$111=0,IFERROR(FIND("素-",第三週!$R$111),0)=1),"",","),IF(IFERROR(FIND("素-",第三週!$R$111),0)=1,"",第三週!$R$111),IF(OR(第三週!$R$112=0,IFERROR(FIND("素-",第三週!$R$112),0)=1),"",","),IF(IFERROR(FIND("素-",第三週!$R$112),0)=1,"",第三週!$R$112),IF(OR(第三週!$R$113=0,IFERROR(FIND("素-",第三週!$R$113),0)=1),"",","),IF(IFERROR(FIND("素-",第三週!$R$113),0)=1,"",第三週!$R$113),IF(OR(第三週!$R$114=0,IFERROR(FIND("素-",第三週!$R$114),0)=1),"",","),IF(IFERROR(FIND("素-",第三週!$R$114),0)=1,"",第三週!$R$114),IF(OR(第三週!$R$115=0,IFERROR(FIND("素-",第三週!$R$115),0)=1),"",","),IF(IFERROR(FIND("素-",第三週!$R$115),0)=1,"",第三週!$R$115))</f>
        <v>洋芋,杏鮑菇,胡蘿蔔,冷凍玉米粒</v>
      </c>
      <c r="H38" s="21" t="str">
        <f>_xlfn.CONCAT(IF(IFERROR(FIND("素-",第三週!$R$199),0)=1,"",第三週!$R$199),IF(OR(第三週!$R$200=0,IFERROR(FIND("素-",第三週!$R$200),0)=1),"",","),IF(IFERROR(FIND("素-",第三週!$R$200),0)=1,"",第三週!$R$200),IF(OR(第三週!$R$201=0,IFERROR(FIND("素-",第三週!$R$201),0)=1),"",","),IF(IFERROR(FIND("素-",第三週!$R$201),0)=1,"",第三週!$R$201),IF(OR(第三週!$R$202=0,IFERROR(FIND("素-",第三週!$R$202),0)=1),"",","),IF(IFERROR(FIND("素-",第三週!$R$202),0)=1,"",第三週!$R$202),IF(OR(第三週!$R$203=0,IFERROR(FIND("素-",第三週!$R$203),0)=1),"",","),IF(IFERROR(FIND("素-",第三週!$R$203),0)=1,"",第三週!$R$203),IF(OR(第三週!$R$204=0,IFERROR(FIND("素-",第三週!$R$204),0)=1),"",","),IF(IFERROR(FIND("素-",第三週!$R$204),0)=1,"",第三週!$R$204),IF(OR(第三週!$R$205=0,IFERROR(FIND("素-",第三週!$R$205),0)=1),"",","),IF(IFERROR(FIND("素-",第三週!$R$205),0)=1,"",第三週!$R$205),IF(OR(第三週!$R$206=0,IFERROR(FIND("素-",第三週!$R$206),0)=1),"",","),IF(IFERROR(FIND("素-",第三週!$R$206),0)=1,"",第三週!$R$206))</f>
        <v>脆圓,冷凍芋頭丁,二砂糖,椰奶</v>
      </c>
      <c r="I38" s="474"/>
      <c r="J38" s="482"/>
      <c r="K38" s="482"/>
      <c r="L38" s="489"/>
      <c r="M38" s="489"/>
      <c r="N38" s="489"/>
      <c r="O38" s="489"/>
      <c r="P38" s="489"/>
      <c r="Q38" s="489"/>
      <c r="R38" s="491"/>
    </row>
    <row r="39" spans="1:18" ht="49.9" customHeight="1">
      <c r="A39" s="475">
        <f>IF(第三週!$V$2=0,"",第三週!$V$2)</f>
        <v>45463</v>
      </c>
      <c r="B39" s="477" t="s">
        <v>25</v>
      </c>
      <c r="C39" s="479" t="str">
        <f>IF(第三週!$V$4=0,"",第三週!$V$4)</f>
        <v>地瓜飯</v>
      </c>
      <c r="D39" s="81" t="str">
        <f>IF(第三週!$V$34=0,"",第三週!$V$34)</f>
        <v>腐乳雞</v>
      </c>
      <c r="E39" s="81" t="str">
        <f>IF(第三週!$V$49=0,"",第三週!$V$49)</f>
        <v/>
      </c>
      <c r="F39" s="82" t="str">
        <f>IF(第三週!$V$94=0,"",第三週!$V$94)</f>
        <v>三色滑蛋</v>
      </c>
      <c r="G39" s="82" t="str">
        <f>IF(第三週!$V$109=0,"",第三週!$V$109)</f>
        <v>螞蟻上樹</v>
      </c>
      <c r="H39" s="82" t="str">
        <f>IF(第三週!$V$199=0,"",第三週!$V$199)</f>
        <v>海帶蛋花湯</v>
      </c>
      <c r="I39" s="473" t="str">
        <f>IF(第三週!$V$184=0,"",第三週!$V$184)</f>
        <v>清炒時蔬</v>
      </c>
      <c r="J39" s="481" t="str">
        <f>IF(第三週!$V$214=0,"",第三週!$V$214)</f>
        <v>牛奶</v>
      </c>
      <c r="K39" s="481" t="str">
        <f>IF(第三週!$V$234=0,"",第三週!$V$234)</f>
        <v/>
      </c>
      <c r="L39" s="488">
        <f>IFERROR(SUMPRODUCT(第三週!$Y$4:$Y$214,第三週!$BH$4:$BH$214)/第三週!$Y$2,"")</f>
        <v>0</v>
      </c>
      <c r="M39" s="488">
        <f>IFERROR(SUMPRODUCT(第三週!$Y$4:$Y$214,第三週!$BI$4:$BI$214)/第三週!$Y$2,"")</f>
        <v>0</v>
      </c>
      <c r="N39" s="488">
        <f>IFERROR(SUMPRODUCT(第三週!$Y$4:$Y$214,第三週!$BJ$4:$BJ$214)/第三週!$Y$2,"")</f>
        <v>0</v>
      </c>
      <c r="O39" s="488">
        <f>IFERROR(SUMPRODUCT(第三週!$Y$4:$Y$214,第三週!$BK$4:$BK$214)/第三週!$Y$2+2.3,"")</f>
        <v>2.2999999999999998</v>
      </c>
      <c r="P39" s="488">
        <f>IFERROR(SUMPRODUCT(第三週!$Y$4:$Y$214,第三週!$BL$4:$BL$214)/第三週!$Y$2,"")</f>
        <v>0</v>
      </c>
      <c r="Q39" s="488">
        <f>IFERROR(SUMPRODUCT(第三週!$Y$4:$Y$214,第三週!$BM$4:$BM$214)/第三週!$Y$2,"")</f>
        <v>0</v>
      </c>
      <c r="R39" s="490">
        <f>IFERROR(L39*70+M39*75+N39*25+O39*45+P39*60+Q39*150,"")</f>
        <v>103.49999999999999</v>
      </c>
    </row>
    <row r="40" spans="1:18" s="22" customFormat="1" ht="25.15" customHeight="1">
      <c r="A40" s="476"/>
      <c r="B40" s="478"/>
      <c r="C40" s="480"/>
      <c r="D40" s="21" t="str">
        <f>_xlfn.CONCAT(IF(IFERROR(FIND("素-",第三週!$W$34),0)=1,"",第三週!$W$34),IF(OR(第三週!$W$35=0,IFERROR(FIND("素-",第三週!$W$35),0)=1),"",","),IF(IFERROR(FIND("素-",第三週!$W$35),0)=1,"",第三週!$W$35),IF(OR(第三週!$W$36=0,IFERROR(FIND("素-",第三週!$W$36),0)=1),"",","),IF(IFERROR(FIND("素-",第三週!$W$36),0)=1,"",第三週!$W$36),IF(OR(第三週!$W$37=0,IFERROR(FIND("素-",第三週!$W$37),0)=1),"",","),IF(IFERROR(FIND("素-",第三週!$W$37),0)=1,"",第三週!$W$37),IF(OR(第三週!$W$38=0,IFERROR(FIND("素-",第三週!$W$38),0)=1),"",","),IF(IFERROR(FIND("素-",第三週!$W$38),0)=1,"",第三週!$W$38),IF(OR(第三週!$W$39=0,IFERROR(FIND("素-",第三週!$W$39),0)=1),"",","),IF(IFERROR(FIND("素-",第三週!$W$39),0)=1,"",第三週!$W$39),IF(OR(第三週!$W$40=0,IFERROR(FIND("素-",第三週!$W$40),0)=1),"",","),IF(IFERROR(FIND("素-",第三週!$W$40),0)=1,"",第三週!$W$40),IF(OR(第三週!$W$41=0,IFERROR(FIND("素-",第三週!$W$41),0)=1),"",","),IF(IFERROR(FIND("素-",第三週!$W$41),0)=1,"",第三週!$W$41),IF(OR(第三週!$W$42=0,IFERROR(FIND("素-",第三週!$W$42),0)=1),"",","),IF(IFERROR(FIND("素-",第三週!$W$42),0)=1,"",第三週!$W$42))</f>
        <v>骨腿,雞清胸肉,洋芋,豆腐乳</v>
      </c>
      <c r="E40" s="21" t="str">
        <f>_xlfn.CONCAT(IF(IFERROR(FIND("素-",第三週!$W$49),0)=1,"",第三週!$W$49),IF(OR(第三週!$W$50=0,IFERROR(FIND("素-",第三週!$W$50),0)=1),"",","),IF(IFERROR(FIND("素-",第三週!$W$50),0)=1,"",第三週!$W$50),IF(OR(第三週!$W$51=0,IFERROR(FIND("素-",第三週!$W$51),0)=1),"",","),IF(IFERROR(FIND("素-",第三週!$W$51),0)=1,"",第三週!$W$51),IF(OR(第三週!$W$52=0,IFERROR(FIND("素-",第三週!$W$52),0)=1),"",","),IF(IFERROR(FIND("素-",第三週!$W$52),0)=1,"",第三週!$W$52),IF(OR(第三週!$W$53=0,IFERROR(FIND("素-",第三週!$W$53),0)=1),"",","),IF(IFERROR(FIND("素-",第三週!$W$53),0)=1,"",第三週!$W$53),IF(OR(第三週!$W$54=0,IFERROR(FIND("素-",第三週!$W$54),0)=1),"",","),IF(IFERROR(FIND("素-",第三週!$W$54),0)=1,"",第三週!$W$54),IF(OR(第三週!$W$55=0,IFERROR(FIND("素-",第三週!$W$55),0)=1),"",","),IF(IFERROR(FIND("素-",第三週!$W$55),0)=1,"",第三週!$W$55))</f>
        <v/>
      </c>
      <c r="F40" s="21" t="str">
        <f>_xlfn.CONCAT(IF(IFERROR(FIND("素-",第三週!$W$94),0)=1,"",第三週!$W$94),IF(OR(第三週!$W$95=0,IFERROR(FIND("素-",第三週!$W$95),0)=1),"",","),IF(IFERROR(FIND("素-",第三週!$W$95),0)=1,"",第三週!$W$95),IF(OR(第三週!$W$96=0,IFERROR(FIND("素-",第三週!$W$96),0)=1),"",","),IF(IFERROR(FIND("素-",第三週!$W$96),0)=1,"",第三週!$W$96),IF(OR(第三週!$W$97=0,IFERROR(FIND("素-",第三週!$W$97),0)=1),"",","),IF(IFERROR(FIND("素-",第三週!$W$97),0)=1,"",第三週!$W$97),IF(OR(第三週!$W$98=0,IFERROR(FIND("素-",第三週!$W$98),0)=1),"",","),IF(IFERROR(FIND("素-",第三週!$W$98),0)=1,"",第三週!$W$98),IF(OR(第三週!$W$99=0,IFERROR(FIND("素-",第三週!$W$99),0)=1),"",","),IF(IFERROR(FIND("素-",第三週!$W$99),0)=1,"",第三週!$W$99),IF(OR(第三週!$W$100=0,IFERROR(FIND("素-",第三週!$W$100),0)=1),"",","),IF(IFERROR(FIND("素-",第三週!$W$100),0)=1,"",第三週!$W$100))</f>
        <v>冷凍胡蘿蔔,冷凍洋芋,冷凍玉米粒,雞蛋</v>
      </c>
      <c r="G40" s="21" t="str">
        <f>_xlfn.CONCAT(IF(IFERROR(FIND("素-",第三週!$W$109),0)=1,"",第三週!$W$109),IF(OR(第三週!$W$110=0,IFERROR(FIND("素-",第三週!$W$110),0)=1),"",","),IF(IFERROR(FIND("素-",第三週!$W$110),0)=1,"",第三週!$W$110),IF(OR(第三週!$W$111=0,IFERROR(FIND("素-",第三週!$W$111),0)=1),"",","),IF(IFERROR(FIND("素-",第三週!$W$111),0)=1,"",第三週!$W$111),IF(OR(第三週!$W$112=0,IFERROR(FIND("素-",第三週!$W$112),0)=1),"",","),IF(IFERROR(FIND("素-",第三週!$W$112),0)=1,"",第三週!$W$112),IF(OR(第三週!$W$113=0,IFERROR(FIND("素-",第三週!$W$113),0)=1),"",","),IF(IFERROR(FIND("素-",第三週!$W$113),0)=1,"",第三週!$W$113),IF(OR(第三週!$W$114=0,IFERROR(FIND("素-",第三週!$W$114),0)=1),"",","),IF(IFERROR(FIND("素-",第三週!$W$114),0)=1,"",第三週!$W$114),IF(OR(第三週!$W$115=0,IFERROR(FIND("素-",第三週!$W$115),0)=1),"",","),IF(IFERROR(FIND("素-",第三週!$W$115),0)=1,"",第三週!$W$115))</f>
        <v>冬粉,豬絞肉,豆瓣醬,青蔥,胡蘿蔔</v>
      </c>
      <c r="H40" s="21" t="str">
        <f>_xlfn.CONCAT(IF(IFERROR(FIND("素-",第三週!$W$199),0)=1,"",第三週!$W$199),IF(OR(第三週!$W$200=0,IFERROR(FIND("素-",第三週!$W$200),0)=1),"",","),IF(IFERROR(FIND("素-",第三週!$W$200),0)=1,"",第三週!$W$200),IF(OR(第三週!$W$201=0,IFERROR(FIND("素-",第三週!$W$201),0)=1),"",","),IF(IFERROR(FIND("素-",第三週!$W$201),0)=1,"",第三週!$W$201),IF(OR(第三週!$W$202=0,IFERROR(FIND("素-",第三週!$W$202),0)=1),"",","),IF(IFERROR(FIND("素-",第三週!$W$202),0)=1,"",第三週!$W$202),IF(OR(第三週!$W$203=0,IFERROR(FIND("素-",第三週!$W$203),0)=1),"",","),IF(IFERROR(FIND("素-",第三週!$W$203),0)=1,"",第三週!$W$203),IF(OR(第三週!$W$204=0,IFERROR(FIND("素-",第三週!$W$204),0)=1),"",","),IF(IFERROR(FIND("素-",第三週!$W$204),0)=1,"",第三週!$W$204),IF(OR(第三週!$W$205=0,IFERROR(FIND("素-",第三週!$W$205),0)=1),"",","),IF(IFERROR(FIND("素-",第三週!$W$205),0)=1,"",第三週!$W$205),IF(OR(第三週!$W$206=0,IFERROR(FIND("素-",第三週!$W$206),0)=1),"",","),IF(IFERROR(FIND("素-",第三週!$W$206),0)=1,"",第三週!$W$206))</f>
        <v>雞蛋,海帶芽,薑絲</v>
      </c>
      <c r="I40" s="474"/>
      <c r="J40" s="482"/>
      <c r="K40" s="482"/>
      <c r="L40" s="489"/>
      <c r="M40" s="489"/>
      <c r="N40" s="489"/>
      <c r="O40" s="489"/>
      <c r="P40" s="489"/>
      <c r="Q40" s="489"/>
      <c r="R40" s="491"/>
    </row>
    <row r="41" spans="1:18" ht="49.9" customHeight="1">
      <c r="A41" s="475">
        <f>IF(第三週!$AA$2=0,"",第三週!$AA$2)</f>
        <v>45464</v>
      </c>
      <c r="B41" s="477" t="s">
        <v>37</v>
      </c>
      <c r="C41" s="479" t="str">
        <f>IF(第三週!$AA$4=0,"",第三週!$AA$4)</f>
        <v>白飯</v>
      </c>
      <c r="D41" s="81" t="str">
        <f>IF(第三週!$AA$34=0,"",第三週!$AA$34)</f>
        <v>京醬肉絲</v>
      </c>
      <c r="E41" s="81" t="str">
        <f>IF(第三週!$AA$49=0,"",第三週!$AA$49)</f>
        <v/>
      </c>
      <c r="F41" s="82" t="str">
        <f>IF(第三週!$AA$94=0,"",第三週!$AA$94)</f>
        <v>木耳高麗</v>
      </c>
      <c r="G41" s="82" t="str">
        <f>IF(第三週!$AA$109=0,"",第三週!$AA$109)</f>
        <v>麥克雞塊</v>
      </c>
      <c r="H41" s="82" t="str">
        <f>IF(第三週!$AA$199=0,"",第三週!$AA$199)</f>
        <v>金針貢丸湯</v>
      </c>
      <c r="I41" s="473" t="str">
        <f>IF(第三週!$AA$184=0,"",第三週!$AA$184)</f>
        <v>清炒時蔬</v>
      </c>
      <c r="J41" s="481" t="str">
        <f>IF(第三週!$AA$214=0,"",第三週!$AA$214)</f>
        <v>水果</v>
      </c>
      <c r="K41" s="481" t="str">
        <f>IF(第三週!$AA$234=0,"",第三週!$AA$234)</f>
        <v/>
      </c>
      <c r="L41" s="488">
        <f>IFERROR(SUMPRODUCT(第三週!$AD$4:$AD$214,第三週!$BO$4:$BO$214)/第三週!$AD$2,"")</f>
        <v>0</v>
      </c>
      <c r="M41" s="488">
        <f>IFERROR(SUMPRODUCT(第三週!$AD$4:$AD$214,第三週!$BP$4:$BP$214)/第三週!$AD$2,"")</f>
        <v>0</v>
      </c>
      <c r="N41" s="488">
        <f>IFERROR(SUMPRODUCT(第三週!$AD$4:$AD$214,第三週!$BQ$4:$BQ$214)/第三週!$AD$2,"")</f>
        <v>0</v>
      </c>
      <c r="O41" s="488">
        <f>IFERROR(SUMPRODUCT(第三週!$AD$4:$AD$214,第三週!$BR$4:$BR$214)/第三週!$AD$2+2.3,"")</f>
        <v>2.2999999999999998</v>
      </c>
      <c r="P41" s="488">
        <f>IFERROR(SUMPRODUCT(第三週!$AD$4:$AD$214,第三週!$BS$4:$BS$214)/第三週!$AD$2,"")</f>
        <v>0</v>
      </c>
      <c r="Q41" s="488">
        <f>IFERROR(SUMPRODUCT(第三週!$AD$4:$AD$214,第三週!$BT$4:$BT$214)/第三週!$AD$2,"")</f>
        <v>0</v>
      </c>
      <c r="R41" s="490">
        <f>IFERROR(L41*70+M41*75+N41*25+O41*45+P41*60+Q41*150,"")</f>
        <v>103.49999999999999</v>
      </c>
    </row>
    <row r="42" spans="1:18" s="22" customFormat="1" ht="25.15" customHeight="1">
      <c r="A42" s="476"/>
      <c r="B42" s="478"/>
      <c r="C42" s="480"/>
      <c r="D42" s="21" t="str">
        <f>_xlfn.CONCAT(IF(IFERROR(FIND("素-",第三週!$AB$34),0)=1,"",第三週!$AB$34),IF(OR(第三週!$AB$35=0,IFERROR(FIND("素-",第三週!$AB$35),0)=1),"",","),IF(IFERROR(FIND("素-",第三週!$AB$35),0)=1,"",第三週!$AB$35),IF(OR(第三週!$AB$36=0,IFERROR(FIND("素-",第三週!$AB$36),0)=1),"",","),IF(IFERROR(FIND("素-",第三週!$AB$36),0)=1,"",第三週!$AB$36),IF(OR(第三週!$AB$37=0,IFERROR(FIND("素-",第三週!$AB$37),0)=1),"",","),IF(IFERROR(FIND("素-",第三週!$AB$37),0)=1,"",第三週!$AB$37),IF(OR(第三週!$AB$38=0,IFERROR(FIND("素-",第三週!$AB$38),0)=1),"",","),IF(IFERROR(FIND("素-",第三週!$AB$38),0)=1,"",第三週!$AB$38),IF(OR(第三週!$AB$39=0,IFERROR(FIND("素-",第三週!$AB$39),0)=1),"",","),IF(IFERROR(FIND("素-",第三週!$AB$39),0)=1,"",第三週!$AB$39),IF(OR(第三週!$AB$40=0,IFERROR(FIND("素-",第三週!$AB$40),0)=1),"",","),IF(IFERROR(FIND("素-",第三週!$AB$40),0)=1,"",第三週!$AB$40),IF(OR(第三週!$AB$41=0,IFERROR(FIND("素-",第三週!$AB$41),0)=1),"",","),IF(IFERROR(FIND("素-",第三週!$AB$41),0)=1,"",第三週!$AB$41),IF(OR(第三週!$AB$42=0,IFERROR(FIND("素-",第三週!$AB$42),0)=1),"",","),IF(IFERROR(FIND("素-",第三週!$AB$42),0)=1,"",第三週!$AB$42))</f>
        <v>豬前腿肉,洋蔥,洋芋,甜麵醬</v>
      </c>
      <c r="E42" s="21" t="str">
        <f>_xlfn.CONCAT(IF(IFERROR(FIND("素-",第三週!$AB$49),0)=1,"",第三週!$AB$49),IF(OR(第三週!$AB$50=0,IFERROR(FIND("素-",第三週!$AB$50),0)=1),"",","),IF(IFERROR(FIND("素-",第三週!$AB$50),0)=1,"",第三週!$AB$50),IF(OR(第三週!$AB$51=0,IFERROR(FIND("素-",第三週!$AB$51),0)=1),"",","),IF(IFERROR(FIND("素-",第三週!$AB$51),0)=1,"",第三週!$AB$51),IF(OR(第三週!$AB$52=0,IFERROR(FIND("素-",第三週!$AB$52),0)=1),"",","),IF(IFERROR(FIND("素-",第三週!$AB$52),0)=1,"",第三週!$AB$52),IF(OR(第三週!$AB$53=0,IFERROR(FIND("素-",第三週!$AB$53),0)=1),"",","),IF(IFERROR(FIND("素-",第三週!$AB$53),0)=1,"",第三週!$AB$53),IF(OR(第三週!$AB$54=0,IFERROR(FIND("素-",第三週!$AB$54),0)=1),"",","),IF(IFERROR(FIND("素-",第三週!$AB$54),0)=1,"",第三週!$AB$54),IF(OR(第三週!$AB$55=0,IFERROR(FIND("素-",第三週!$AB$55),0)=1),"",","),IF(IFERROR(FIND("素-",第三週!$AB$55),0)=1,"",第三週!$AB$55))</f>
        <v/>
      </c>
      <c r="F42" s="21" t="str">
        <f>_xlfn.CONCAT(IF(IFERROR(FIND("素-",第三週!$AB$94),0)=1,"",第三週!$AB$94),IF(OR(第三週!$AB$95=0,IFERROR(FIND("素-",第三週!$AB$95),0)=1),"",","),IF(IFERROR(FIND("素-",第三週!$AB$95),0)=1,"",第三週!$AB$95),IF(OR(第三週!$AB$96=0,IFERROR(FIND("素-",第三週!$AB$96),0)=1),"",","),IF(IFERROR(FIND("素-",第三週!$AB$96),0)=1,"",第三週!$AB$96),IF(OR(第三週!$AB$97=0,IFERROR(FIND("素-",第三週!$AB$97),0)=1),"",","),IF(IFERROR(FIND("素-",第三週!$AB$97),0)=1,"",第三週!$AB$97),IF(OR(第三週!$AB$98=0,IFERROR(FIND("素-",第三週!$AB$98),0)=1),"",","),IF(IFERROR(FIND("素-",第三週!$AB$98),0)=1,"",第三週!$AB$98),IF(OR(第三週!$AB$99=0,IFERROR(FIND("素-",第三週!$AB$99),0)=1),"",","),IF(IFERROR(FIND("素-",第三週!$AB$99),0)=1,"",第三週!$AB$99),IF(OR(第三週!$AB$100=0,IFERROR(FIND("素-",第三週!$AB$100),0)=1),"",","),IF(IFERROR(FIND("素-",第三週!$AB$100),0)=1,"",第三週!$AB$100))</f>
        <v>高麗菜,木耳,紅蘿蔔,蝦米</v>
      </c>
      <c r="G42" s="21" t="str">
        <f>_xlfn.CONCAT(IF(IFERROR(FIND("素-",第三週!$AB$109),0)=1,"",第三週!$AB$109),IF(OR(第三週!$AB$110=0,IFERROR(FIND("素-",第三週!$AB$110),0)=1),"",","),IF(IFERROR(FIND("素-",第三週!$AB$110),0)=1,"",第三週!$AB$110),IF(OR(第三週!$AB$111=0,IFERROR(FIND("素-",第三週!$AB$111),0)=1),"",","),IF(IFERROR(FIND("素-",第三週!$AB$111),0)=1,"",第三週!$AB$111),IF(OR(第三週!$AB$112=0,IFERROR(FIND("素-",第三週!$AB$112),0)=1),"",","),IF(IFERROR(FIND("素-",第三週!$AB$112),0)=1,"",第三週!$AB$112),IF(OR(第三週!$AB$113=0,IFERROR(FIND("素-",第三週!$AB$113),0)=1),"",","),IF(IFERROR(FIND("素-",第三週!$AB$113),0)=1,"",第三週!$AB$113),IF(OR(第三週!$AB$114=0,IFERROR(FIND("素-",第三週!$AB$114),0)=1),"",","),IF(IFERROR(FIND("素-",第三週!$AB$114),0)=1,"",第三週!$AB$114),IF(OR(第三週!$AB$115=0,IFERROR(FIND("素-",第三週!$AB$115),0)=1),"",","),IF(IFERROR(FIND("素-",第三週!$AB$115),0)=1,"",第三週!$AB$115))</f>
        <v>雞塊</v>
      </c>
      <c r="H42" s="21" t="str">
        <f>_xlfn.CONCAT(IF(IFERROR(FIND("素-",第三週!$AB$199),0)=1,"",第三週!$AB$199),IF(OR(第三週!$AB$200=0,IFERROR(FIND("素-",第三週!$AB$200),0)=1),"",","),IF(IFERROR(FIND("素-",第三週!$AB$200),0)=1,"",第三週!$AB$200),IF(OR(第三週!$AB$201=0,IFERROR(FIND("素-",第三週!$AB$201),0)=1),"",","),IF(IFERROR(FIND("素-",第三週!$AB$201),0)=1,"",第三週!$AB$201),IF(OR(第三週!$AB$202=0,IFERROR(FIND("素-",第三週!$AB$202),0)=1),"",","),IF(IFERROR(FIND("素-",第三週!$AB$202),0)=1,"",第三週!$AB$202),IF(OR(第三週!$AB$203=0,IFERROR(FIND("素-",第三週!$AB$203),0)=1),"",","),IF(IFERROR(FIND("素-",第三週!$AB$203),0)=1,"",第三週!$AB$203),IF(OR(第三週!$AB$204=0,IFERROR(FIND("素-",第三週!$AB$204),0)=1),"",","),IF(IFERROR(FIND("素-",第三週!$AB$204),0)=1,"",第三週!$AB$204),IF(OR(第三週!$AB$205=0,IFERROR(FIND("素-",第三週!$AB$205),0)=1),"",","),IF(IFERROR(FIND("素-",第三週!$AB$205),0)=1,"",第三週!$AB$205),IF(OR(第三週!$AB$206=0,IFERROR(FIND("素-",第三週!$AB$206),0)=1),"",","),IF(IFERROR(FIND("素-",第三週!$AB$206),0)=1,"",第三週!$AB$206))</f>
        <v>乾金針,貢丸</v>
      </c>
      <c r="I42" s="474"/>
      <c r="J42" s="482"/>
      <c r="K42" s="482"/>
      <c r="L42" s="489"/>
      <c r="M42" s="489"/>
      <c r="N42" s="489"/>
      <c r="O42" s="489"/>
      <c r="P42" s="489"/>
      <c r="Q42" s="489"/>
      <c r="R42" s="491"/>
    </row>
    <row r="43" spans="1:18" ht="49.9" customHeight="1">
      <c r="A43" s="475" t="str">
        <f>IF(第三週!$AF$2=0,"",第三週!$AF$2)</f>
        <v/>
      </c>
      <c r="B43" s="477" t="s">
        <v>38</v>
      </c>
      <c r="C43" s="479" t="str">
        <f>IF(第三週!$AF$4=0,"",第三週!$AF$4)</f>
        <v/>
      </c>
      <c r="D43" s="81" t="str">
        <f>IF(第三週!$AF$34=0,"",第三週!$AF$34)</f>
        <v/>
      </c>
      <c r="E43" s="81" t="str">
        <f>IF(第三週!$AF$49=0,"",第三週!$AF$49)</f>
        <v/>
      </c>
      <c r="F43" s="82" t="str">
        <f>IF(第三週!$AF$94=0,"",第三週!$AF$94)</f>
        <v/>
      </c>
      <c r="G43" s="82" t="str">
        <f>IF(第三週!$AF$109=0,"",第三週!$AF$109)</f>
        <v/>
      </c>
      <c r="H43" s="82" t="str">
        <f>IF(第三週!$AF$199=0,"",第三週!$AF$199)</f>
        <v/>
      </c>
      <c r="I43" s="473" t="str">
        <f>IF(第三週!$AF$184=0,"",第三週!$AF$184)</f>
        <v/>
      </c>
      <c r="J43" s="481" t="str">
        <f>IF(第三週!$AF$214=0,"",第三週!$AF$214)</f>
        <v/>
      </c>
      <c r="K43" s="481" t="str">
        <f>IF(第三週!$AF$234=0,"",第三週!$AF$234)</f>
        <v/>
      </c>
      <c r="L43" s="488" t="str">
        <f>IFERROR(SUMPRODUCT(第三週!$AI$4:$AI$214,第三週!$BV$4:$BV$214)/第三週!$AI$2,"")</f>
        <v/>
      </c>
      <c r="M43" s="488" t="str">
        <f>IFERROR(SUMPRODUCT(第三週!$AI$4:$AI$214,第三週!$BW$4:$BW$214)/第三週!$AI$2,"")</f>
        <v/>
      </c>
      <c r="N43" s="488" t="str">
        <f>IFERROR(SUMPRODUCT(第三週!$AI$4:$AI$214,第三週!$BX$4:$BX$214)/第三週!$AI$2,"")</f>
        <v/>
      </c>
      <c r="O43" s="488" t="str">
        <f>IFERROR(SUMPRODUCT(第三週!$AI$4:$AI$214,第三週!$BY$4:$BY$214)/第三週!$AI$2+2.3,"")</f>
        <v/>
      </c>
      <c r="P43" s="488" t="str">
        <f>IFERROR(SUMPRODUCT(第三週!$AI$4:$AI$214,第三週!$BZ$4:$BZ$214)/第三週!$AI$2,"")</f>
        <v/>
      </c>
      <c r="Q43" s="488" t="str">
        <f>IFERROR(SUMPRODUCT(第三週!$AI$4:$AI$214,第三週!$CA$4:$CA$214)/第三週!$AI$2,"")</f>
        <v/>
      </c>
      <c r="R43" s="490" t="str">
        <f>IFERROR(L43*70+M43*75+N43*25+O43*45+P43*60+Q43*150,"")</f>
        <v/>
      </c>
    </row>
    <row r="44" spans="1:18" s="22" customFormat="1" ht="25.15" customHeight="1">
      <c r="A44" s="476"/>
      <c r="B44" s="478"/>
      <c r="C44" s="480"/>
      <c r="D44" s="21" t="str">
        <f>_xlfn.CONCAT(IF(IFERROR(FIND("素-",第三週!$AG$34),0)=1,"",第三週!$AG$34),IF(OR(第三週!$AG$35=0,IFERROR(FIND("素-",第三週!$AG$35),0)=1),"",","),IF(IFERROR(FIND("素-",第三週!$AG$35),0)=1,"",第三週!$AG$35),IF(OR(第三週!$AG$36=0,IFERROR(FIND("素-",第三週!$AG$36),0)=1),"",","),IF(IFERROR(FIND("素-",第三週!$AG$36),0)=1,"",第三週!$AG$36),IF(OR(第三週!$AG$37=0,IFERROR(FIND("素-",第三週!$AG$37),0)=1),"",","),IF(IFERROR(FIND("素-",第三週!$AG$37),0)=1,"",第三週!$AG$37),IF(OR(第三週!$AG$38=0,IFERROR(FIND("素-",第三週!$AG$38),0)=1),"",","),IF(IFERROR(FIND("素-",第三週!$AG$38),0)=1,"",第三週!$AG$38),IF(OR(第三週!$AG$39=0,IFERROR(FIND("素-",第三週!$AG$39),0)=1),"",","),IF(IFERROR(FIND("素-",第三週!$AG$39),0)=1,"",第三週!$AG$39),IF(OR(第三週!$AG$40=0,IFERROR(FIND("素-",第三週!$AG$40),0)=1),"",","),IF(IFERROR(FIND("素-",第三週!$AG$40),0)=1,"",第三週!$AG$40),IF(OR(第三週!$AG$41=0,IFERROR(FIND("素-",第三週!$AG$41),0)=1),"",","),IF(IFERROR(FIND("素-",第三週!$AG$41),0)=1,"",第三週!$AG$41),IF(OR(第三週!$AG$42=0,IFERROR(FIND("素-",第三週!$AG$42),0)=1),"",","),IF(IFERROR(FIND("素-",第三週!$AG$42),0)=1,"",第三週!$AG$42))</f>
        <v/>
      </c>
      <c r="E44" s="21" t="str">
        <f>_xlfn.CONCAT(IF(IFERROR(FIND("素-",第三週!$AG$49),0)=1,"",第三週!$AG$49),IF(OR(第三週!$AG$50=0,IFERROR(FIND("素-",第三週!$AG$50),0)=1),"",","),IF(IFERROR(FIND("素-",第三週!$AG$50),0)=1,"",第三週!$AG$50),IF(OR(第三週!$AG$51=0,IFERROR(FIND("素-",第三週!$AG$51),0)=1),"",","),IF(IFERROR(FIND("素-",第三週!$AG$51),0)=1,"",第三週!$AG$51),IF(OR(第三週!$AG$52=0,IFERROR(FIND("素-",第三週!$AG$52),0)=1),"",","),IF(IFERROR(FIND("素-",第三週!$AG$52),0)=1,"",第三週!$AG$52),IF(OR(第三週!$AG$53=0,IFERROR(FIND("素-",第三週!$AG$53),0)=1),"",","),IF(IFERROR(FIND("素-",第三週!$AG$53),0)=1,"",第三週!$AG$53),IF(OR(第三週!$AG$54=0,IFERROR(FIND("素-",第三週!$AG$54),0)=1),"",","),IF(IFERROR(FIND("素-",第三週!$AG$54),0)=1,"",第三週!$AG$54),IF(OR(第三週!$AG$55=0,IFERROR(FIND("素-",第三週!$AG$55),0)=1),"",","),IF(IFERROR(FIND("素-",第三週!$AG$55),0)=1,"",第三週!$AG$55))</f>
        <v/>
      </c>
      <c r="F44" s="21" t="str">
        <f>_xlfn.CONCAT(IF(IFERROR(FIND("素-",第三週!$AG$94),0)=1,"",第三週!$AG$94),IF(OR(第三週!$AG$95=0,IFERROR(FIND("素-",第三週!$AG$95),0)=1),"",","),IF(IFERROR(FIND("素-",第三週!$AG$95),0)=1,"",第三週!$AG$95),IF(OR(第三週!$AG$96=0,IFERROR(FIND("素-",第三週!$AG$96),0)=1),"",","),IF(IFERROR(FIND("素-",第三週!$AG$96),0)=1,"",第三週!$AG$96),IF(OR(第三週!$AG$97=0,IFERROR(FIND("素-",第三週!$AG$97),0)=1),"",","),IF(IFERROR(FIND("素-",第三週!$AG$97),0)=1,"",第三週!$AG$97),IF(OR(第三週!$AG$98=0,IFERROR(FIND("素-",第三週!$AG$98),0)=1),"",","),IF(IFERROR(FIND("素-",第三週!$AG$98),0)=1,"",第三週!$AG$98),IF(OR(第三週!$AG$99=0,IFERROR(FIND("素-",第三週!$AG$99),0)=1),"",","),IF(IFERROR(FIND("素-",第三週!$AG$99),0)=1,"",第三週!$AG$99),IF(OR(第三週!$AG$100=0,IFERROR(FIND("素-",第三週!$AG$100),0)=1),"",","),IF(IFERROR(FIND("素-",第三週!$AG$100),0)=1,"",第三週!$AG$100))</f>
        <v/>
      </c>
      <c r="G44" s="21" t="str">
        <f>_xlfn.CONCAT(IF(IFERROR(FIND("素-",第三週!$AG$109),0)=1,"",第三週!$AG$109),IF(OR(第三週!$AG$110=0,IFERROR(FIND("素-",第三週!$AG$110),0)=1),"",","),IF(IFERROR(FIND("素-",第三週!$AG$110),0)=1,"",第三週!$AG$110),IF(OR(第三週!$AG$111=0,IFERROR(FIND("素-",第三週!$AG$111),0)=1),"",","),IF(IFERROR(FIND("素-",第三週!$AG$111),0)=1,"",第三週!$AG$111),IF(OR(第三週!$AG$112=0,IFERROR(FIND("素-",第三週!$AG$112),0)=1),"",","),IF(IFERROR(FIND("素-",第三週!$AG$112),0)=1,"",第三週!$AG$112),IF(OR(第三週!$AG$113=0,IFERROR(FIND("素-",第三週!$AG$113),0)=1),"",","),IF(IFERROR(FIND("素-",第三週!$AG$113),0)=1,"",第三週!$AG$113),IF(OR(第三週!$AG$114=0,IFERROR(FIND("素-",第三週!$AG$114),0)=1),"",","),IF(IFERROR(FIND("素-",第三週!$AG$114),0)=1,"",第三週!$AG$114),IF(OR(第三週!$AG$115=0,IFERROR(FIND("素-",第三週!$AG$115),0)=1),"",","),IF(IFERROR(FIND("素-",第三週!$AG$115),0)=1,"",第三週!$AG$115))</f>
        <v/>
      </c>
      <c r="H44" s="21" t="str">
        <f>_xlfn.CONCAT(IF(IFERROR(FIND("素-",第三週!$AG$199),0)=1,"",第三週!$AG$199),IF(OR(第三週!$AG$200=0,IFERROR(FIND("素-",第三週!$AG$200),0)=1),"",","),IF(IFERROR(FIND("素-",第三週!$AG$200),0)=1,"",第三週!$AG$200),IF(OR(第三週!$AG$201=0,IFERROR(FIND("素-",第三週!$AG$201),0)=1),"",","),IF(IFERROR(FIND("素-",第三週!$AG$201),0)=1,"",第三週!$AG$201),IF(OR(第三週!$AG$202=0,IFERROR(FIND("素-",第三週!$AG$202),0)=1),"",","),IF(IFERROR(FIND("素-",第三週!$AG$202),0)=1,"",第三週!$AG$202),IF(OR(第三週!$AG$203=0,IFERROR(FIND("素-",第三週!$AG$203),0)=1),"",","),IF(IFERROR(FIND("素-",第三週!$AG$203),0)=1,"",第三週!$AG$203),IF(OR(第三週!$AG$204=0,IFERROR(FIND("素-",第三週!$AG$204),0)=1),"",","),IF(IFERROR(FIND("素-",第三週!$AG$204),0)=1,"",第三週!$AG$204),IF(OR(第三週!$AG$205=0,IFERROR(FIND("素-",第三週!$AG$205),0)=1),"",","),IF(IFERROR(FIND("素-",第三週!$AG$205),0)=1,"",第三週!$AG$205),IF(OR(第三週!$AG$206=0,IFERROR(FIND("素-",第三週!$AG$206),0)=1),"",","),IF(IFERROR(FIND("素-",第三週!$AG$206),0)=1,"",第三週!$AG$206))</f>
        <v/>
      </c>
      <c r="I44" s="474"/>
      <c r="J44" s="482"/>
      <c r="K44" s="482"/>
      <c r="L44" s="489"/>
      <c r="M44" s="489"/>
      <c r="N44" s="489"/>
      <c r="O44" s="489"/>
      <c r="P44" s="489"/>
      <c r="Q44" s="489"/>
      <c r="R44" s="491"/>
    </row>
    <row r="45" spans="1:18" ht="49.9" customHeight="1">
      <c r="A45" s="475"/>
      <c r="B45" s="477" t="s">
        <v>39</v>
      </c>
      <c r="C45" s="479"/>
      <c r="D45" s="81"/>
      <c r="E45" s="81"/>
      <c r="F45" s="81"/>
      <c r="G45" s="84"/>
      <c r="H45" s="84"/>
      <c r="I45" s="473"/>
      <c r="J45" s="481"/>
      <c r="K45" s="481"/>
      <c r="L45" s="492"/>
      <c r="M45" s="492"/>
      <c r="N45" s="492"/>
      <c r="O45" s="492"/>
      <c r="P45" s="492"/>
      <c r="Q45" s="492"/>
      <c r="R45" s="490"/>
    </row>
    <row r="46" spans="1:18" s="22" customFormat="1" ht="25.15" customHeight="1">
      <c r="A46" s="476"/>
      <c r="B46" s="478"/>
      <c r="C46" s="480"/>
      <c r="D46" s="21"/>
      <c r="E46" s="21"/>
      <c r="F46" s="21"/>
      <c r="G46" s="21"/>
      <c r="H46" s="21"/>
      <c r="I46" s="474"/>
      <c r="J46" s="482"/>
      <c r="K46" s="482"/>
      <c r="L46" s="493"/>
      <c r="M46" s="493"/>
      <c r="N46" s="493"/>
      <c r="O46" s="493"/>
      <c r="P46" s="493"/>
      <c r="Q46" s="493"/>
      <c r="R46" s="491"/>
    </row>
    <row r="47" spans="1:18" ht="49.9" customHeight="1">
      <c r="A47" s="475" t="e">
        <f>IF(#REF!=0,"",#REF!)</f>
        <v>#REF!</v>
      </c>
      <c r="B47" s="477" t="s">
        <v>22</v>
      </c>
      <c r="C47" s="479" t="e">
        <f>IF(#REF!=0,"",#REF!)</f>
        <v>#REF!</v>
      </c>
      <c r="D47" s="81" t="e">
        <f>IF(#REF!=0,"",#REF!)</f>
        <v>#REF!</v>
      </c>
      <c r="E47" s="81" t="e">
        <f>IF(#REF!=0,"",#REF!)</f>
        <v>#REF!</v>
      </c>
      <c r="F47" s="82" t="e">
        <f>IF(#REF!=0,"",#REF!)</f>
        <v>#REF!</v>
      </c>
      <c r="G47" s="82" t="e">
        <f>IF(#REF!=0,"",#REF!)</f>
        <v>#REF!</v>
      </c>
      <c r="H47" s="82" t="e">
        <f>IF(#REF!=0,"",#REF!)</f>
        <v>#REF!</v>
      </c>
      <c r="I47" s="473" t="e">
        <f>IF(#REF!=0,"",#REF!)</f>
        <v>#REF!</v>
      </c>
      <c r="J47" s="481" t="e">
        <f>IF(#REF!=0,"",#REF!)</f>
        <v>#REF!</v>
      </c>
      <c r="K47" s="481" t="e">
        <f>IF(#REF!=0,"",#REF!)</f>
        <v>#REF!</v>
      </c>
      <c r="L47" s="488" t="str">
        <f>IFERROR(SUMPRODUCT(#REF!,#REF!)/#REF!,"")</f>
        <v/>
      </c>
      <c r="M47" s="488" t="str">
        <f>IFERROR(SUMPRODUCT(#REF!,#REF!)/#REF!,"")</f>
        <v/>
      </c>
      <c r="N47" s="488" t="str">
        <f>IFERROR(SUMPRODUCT(#REF!,#REF!)/#REF!,"")</f>
        <v/>
      </c>
      <c r="O47" s="488" t="str">
        <f>IFERROR(SUMPRODUCT(#REF!,#REF!)/#REF!+2.3,"")</f>
        <v/>
      </c>
      <c r="P47" s="488" t="str">
        <f>IFERROR(SUMPRODUCT(#REF!,#REF!)/#REF!,"")</f>
        <v/>
      </c>
      <c r="Q47" s="488" t="str">
        <f>IFERROR(SUMPRODUCT(#REF!,#REF!)/#REF!,"")</f>
        <v/>
      </c>
      <c r="R47" s="490" t="str">
        <f>IFERROR(L47*70+M47*75+N47*25+O47*45+P47*60+Q47*150,"")</f>
        <v/>
      </c>
    </row>
    <row r="48" spans="1:18" s="22" customFormat="1" ht="25.15" customHeight="1">
      <c r="A48" s="476"/>
      <c r="B48" s="478"/>
      <c r="C48" s="480"/>
      <c r="D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48" s="474"/>
      <c r="J48" s="482"/>
      <c r="K48" s="482"/>
      <c r="L48" s="489"/>
      <c r="M48" s="489"/>
      <c r="N48" s="489"/>
      <c r="O48" s="489"/>
      <c r="P48" s="489"/>
      <c r="Q48" s="489"/>
      <c r="R48" s="491"/>
    </row>
    <row r="49" spans="1:18" ht="49.9" customHeight="1">
      <c r="A49" s="475" t="e">
        <f>IF(#REF!=0,"",#REF!)</f>
        <v>#REF!</v>
      </c>
      <c r="B49" s="477" t="s">
        <v>23</v>
      </c>
      <c r="C49" s="479" t="e">
        <f>IF(#REF!=0,"",#REF!)</f>
        <v>#REF!</v>
      </c>
      <c r="D49" s="81" t="e">
        <f>IF(#REF!=0,"",#REF!)</f>
        <v>#REF!</v>
      </c>
      <c r="E49" s="81" t="e">
        <f>IF(#REF!=0,"",#REF!)</f>
        <v>#REF!</v>
      </c>
      <c r="F49" s="82" t="e">
        <f>IF(#REF!=0,"",#REF!)</f>
        <v>#REF!</v>
      </c>
      <c r="G49" s="82" t="e">
        <f>IF(#REF!=0,"",#REF!)</f>
        <v>#REF!</v>
      </c>
      <c r="H49" s="82" t="e">
        <f>IF(#REF!=0,"",#REF!)</f>
        <v>#REF!</v>
      </c>
      <c r="I49" s="473" t="e">
        <f>IF(#REF!=0,"",#REF!)</f>
        <v>#REF!</v>
      </c>
      <c r="J49" s="481" t="e">
        <f>IF(#REF!=0,"",#REF!)</f>
        <v>#REF!</v>
      </c>
      <c r="K49" s="481" t="e">
        <f>IF(#REF!=0,"",#REF!)</f>
        <v>#REF!</v>
      </c>
      <c r="L49" s="488" t="str">
        <f>IFERROR(SUMPRODUCT(#REF!,#REF!)/#REF!,"")</f>
        <v/>
      </c>
      <c r="M49" s="488" t="str">
        <f>IFERROR(SUMPRODUCT(#REF!,#REF!)/#REF!,"")</f>
        <v/>
      </c>
      <c r="N49" s="488" t="str">
        <f>IFERROR(SUMPRODUCT(#REF!,#REF!)/#REF!,"")</f>
        <v/>
      </c>
      <c r="O49" s="488" t="str">
        <f>IFERROR(SUMPRODUCT(#REF!,#REF!)/#REF!+2.3,"")</f>
        <v/>
      </c>
      <c r="P49" s="488" t="str">
        <f>IFERROR(SUMPRODUCT(#REF!,#REF!)/#REF!,"")</f>
        <v/>
      </c>
      <c r="Q49" s="488" t="str">
        <f>IFERROR(SUMPRODUCT(#REF!,#REF!)/#REF!,"")</f>
        <v/>
      </c>
      <c r="R49" s="490" t="str">
        <f>IFERROR(L49*70+M49*75+N49*25+O49*45+P49*60+Q49*150,"")</f>
        <v/>
      </c>
    </row>
    <row r="50" spans="1:18" s="22" customFormat="1" ht="25.15" customHeight="1">
      <c r="A50" s="476"/>
      <c r="B50" s="478"/>
      <c r="C50" s="480"/>
      <c r="D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0" s="474"/>
      <c r="J50" s="482"/>
      <c r="K50" s="482"/>
      <c r="L50" s="489"/>
      <c r="M50" s="489"/>
      <c r="N50" s="489"/>
      <c r="O50" s="489"/>
      <c r="P50" s="489"/>
      <c r="Q50" s="489"/>
      <c r="R50" s="491"/>
    </row>
    <row r="51" spans="1:18" ht="49.9" customHeight="1">
      <c r="A51" s="475" t="e">
        <f>IF(#REF!=0,"",#REF!)</f>
        <v>#REF!</v>
      </c>
      <c r="B51" s="477" t="s">
        <v>24</v>
      </c>
      <c r="C51" s="479" t="e">
        <f>IF(#REF!=0,"",#REF!)</f>
        <v>#REF!</v>
      </c>
      <c r="D51" s="81" t="e">
        <f>IF(#REF!=0,"",#REF!)</f>
        <v>#REF!</v>
      </c>
      <c r="E51" s="81" t="e">
        <f>IF(#REF!=0,"",#REF!)</f>
        <v>#REF!</v>
      </c>
      <c r="F51" s="82"/>
      <c r="G51" s="82" t="e">
        <f>IF(#REF!=0,"",#REF!)</f>
        <v>#REF!</v>
      </c>
      <c r="H51" s="82" t="e">
        <f>IF(#REF!=0,"",#REF!)</f>
        <v>#REF!</v>
      </c>
      <c r="I51" s="473" t="e">
        <f>IF(#REF!=0,"",#REF!)</f>
        <v>#REF!</v>
      </c>
      <c r="J51" s="481" t="e">
        <f>IF(#REF!=0,"",#REF!)</f>
        <v>#REF!</v>
      </c>
      <c r="K51" s="481" t="e">
        <f>IF(#REF!=0,"",#REF!)</f>
        <v>#REF!</v>
      </c>
      <c r="L51" s="488" t="str">
        <f>IFERROR(SUMPRODUCT(#REF!,#REF!)/#REF!,"")</f>
        <v/>
      </c>
      <c r="M51" s="488" t="str">
        <f>IFERROR(SUMPRODUCT(#REF!,#REF!)/#REF!,"")</f>
        <v/>
      </c>
      <c r="N51" s="488" t="str">
        <f>IFERROR(SUMPRODUCT(#REF!,#REF!)/#REF!,"")</f>
        <v/>
      </c>
      <c r="O51" s="488" t="str">
        <f>IFERROR(SUMPRODUCT(#REF!,#REF!)/#REF!+2.3,"")</f>
        <v/>
      </c>
      <c r="P51" s="488" t="str">
        <f>IFERROR(SUMPRODUCT(#REF!,#REF!)/#REF!,"")</f>
        <v/>
      </c>
      <c r="Q51" s="488" t="str">
        <f>IFERROR(SUMPRODUCT(#REF!,#REF!)/#REF!,"")</f>
        <v/>
      </c>
      <c r="R51" s="490" t="str">
        <f>IFERROR(L51*70+M51*75+N51*25+O51*45+P51*60+Q51*150,"")</f>
        <v/>
      </c>
    </row>
    <row r="52" spans="1:18" s="22" customFormat="1" ht="25.15" customHeight="1">
      <c r="A52" s="476"/>
      <c r="B52" s="478"/>
      <c r="C52" s="480"/>
      <c r="D5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2" s="21"/>
      <c r="G5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2" s="474"/>
      <c r="J52" s="482"/>
      <c r="K52" s="482"/>
      <c r="L52" s="489"/>
      <c r="M52" s="489"/>
      <c r="N52" s="489"/>
      <c r="O52" s="489"/>
      <c r="P52" s="489"/>
      <c r="Q52" s="489"/>
      <c r="R52" s="491"/>
    </row>
    <row r="53" spans="1:18" ht="49.9" customHeight="1">
      <c r="A53" s="475" t="e">
        <f>IF(#REF!=0,"",#REF!)</f>
        <v>#REF!</v>
      </c>
      <c r="B53" s="477" t="s">
        <v>25</v>
      </c>
      <c r="C53" s="479" t="e">
        <f>IF(#REF!=0,"",#REF!)</f>
        <v>#REF!</v>
      </c>
      <c r="D53" s="81" t="e">
        <f>IF(#REF!=0,"",#REF!)</f>
        <v>#REF!</v>
      </c>
      <c r="E53" s="81" t="e">
        <f>IF(#REF!=0,"",#REF!)</f>
        <v>#REF!</v>
      </c>
      <c r="F53" s="82" t="e">
        <f>IF(#REF!=0,"",#REF!)</f>
        <v>#REF!</v>
      </c>
      <c r="G53" s="82" t="e">
        <f>IF(#REF!=0,"",#REF!)</f>
        <v>#REF!</v>
      </c>
      <c r="H53" s="82" t="e">
        <f>IF(#REF!=0,"",#REF!)</f>
        <v>#REF!</v>
      </c>
      <c r="I53" s="473" t="e">
        <f>IF(#REF!=0,"",#REF!)</f>
        <v>#REF!</v>
      </c>
      <c r="J53" s="481" t="e">
        <f>IF(#REF!=0,"",#REF!)</f>
        <v>#REF!</v>
      </c>
      <c r="K53" s="481" t="e">
        <f>IF(#REF!=0,"",#REF!)</f>
        <v>#REF!</v>
      </c>
      <c r="L53" s="488" t="str">
        <f>IFERROR(SUMPRODUCT(#REF!,#REF!)/#REF!,"")</f>
        <v/>
      </c>
      <c r="M53" s="488" t="str">
        <f>IFERROR(SUMPRODUCT(#REF!,#REF!)/#REF!,"")</f>
        <v/>
      </c>
      <c r="N53" s="488" t="str">
        <f>IFERROR(SUMPRODUCT(#REF!,#REF!)/#REF!,"")</f>
        <v/>
      </c>
      <c r="O53" s="488" t="str">
        <f>IFERROR(SUMPRODUCT(#REF!,#REF!)/#REF!+2.3,"")</f>
        <v/>
      </c>
      <c r="P53" s="488" t="str">
        <f>IFERROR(SUMPRODUCT(#REF!,#REF!)/#REF!,"")</f>
        <v/>
      </c>
      <c r="Q53" s="488" t="str">
        <f>IFERROR(SUMPRODUCT(#REF!,#REF!)/#REF!,"")</f>
        <v/>
      </c>
      <c r="R53" s="490" t="str">
        <f>IFERROR(L53*70+M53*75+N53*25+O53*45+P53*60+Q53*150,"")</f>
        <v/>
      </c>
    </row>
    <row r="54" spans="1:18" s="22" customFormat="1" ht="25.15" customHeight="1">
      <c r="A54" s="476"/>
      <c r="B54" s="478"/>
      <c r="C54" s="480"/>
      <c r="D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4" s="474"/>
      <c r="J54" s="482"/>
      <c r="K54" s="482"/>
      <c r="L54" s="489"/>
      <c r="M54" s="489"/>
      <c r="N54" s="489"/>
      <c r="O54" s="489"/>
      <c r="P54" s="489"/>
      <c r="Q54" s="489"/>
      <c r="R54" s="491"/>
    </row>
    <row r="55" spans="1:18" ht="49.9" customHeight="1">
      <c r="A55" s="475" t="e">
        <f>IF(#REF!=0,"",#REF!)</f>
        <v>#REF!</v>
      </c>
      <c r="B55" s="477" t="s">
        <v>37</v>
      </c>
      <c r="C55" s="479" t="e">
        <f>IF(#REF!=0,"",#REF!)</f>
        <v>#REF!</v>
      </c>
      <c r="D55" s="81" t="e">
        <f>IF(#REF!=0,"",#REF!)</f>
        <v>#REF!</v>
      </c>
      <c r="E55" s="81" t="e">
        <f>IF(#REF!=0,"",#REF!)</f>
        <v>#REF!</v>
      </c>
      <c r="F55" s="82" t="e">
        <f>IF(#REF!=0,"",#REF!)</f>
        <v>#REF!</v>
      </c>
      <c r="G55" s="82" t="e">
        <f>IF(#REF!=0,"",#REF!)</f>
        <v>#REF!</v>
      </c>
      <c r="H55" s="82" t="e">
        <f>IF(#REF!=0,"",#REF!)</f>
        <v>#REF!</v>
      </c>
      <c r="I55" s="473" t="e">
        <f>IF(#REF!=0,"",#REF!)</f>
        <v>#REF!</v>
      </c>
      <c r="J55" s="481" t="e">
        <f>IF(#REF!=0,"",#REF!)</f>
        <v>#REF!</v>
      </c>
      <c r="K55" s="481" t="e">
        <f>IF(#REF!=0,"",#REF!)</f>
        <v>#REF!</v>
      </c>
      <c r="L55" s="488" t="str">
        <f>IFERROR(SUMPRODUCT(#REF!,#REF!)/#REF!,"")</f>
        <v/>
      </c>
      <c r="M55" s="488" t="str">
        <f>IFERROR(SUMPRODUCT(#REF!,#REF!)/#REF!,"")</f>
        <v/>
      </c>
      <c r="N55" s="488" t="str">
        <f>IFERROR(SUMPRODUCT(#REF!,#REF!)/#REF!,"")</f>
        <v/>
      </c>
      <c r="O55" s="488" t="str">
        <f>IFERROR(SUMPRODUCT(#REF!,#REF!)/#REF!+2.3,"")</f>
        <v/>
      </c>
      <c r="P55" s="488" t="str">
        <f>IFERROR(SUMPRODUCT(#REF!,#REF!)/#REF!,"")</f>
        <v/>
      </c>
      <c r="Q55" s="488" t="str">
        <f>IFERROR(SUMPRODUCT(#REF!,#REF!)/#REF!,"")</f>
        <v/>
      </c>
      <c r="R55" s="490" t="str">
        <f>IFERROR(L55*70+M55*75+N55*25+O55*45+P55*60+Q55*150,"")</f>
        <v/>
      </c>
    </row>
    <row r="56" spans="1:18" s="22" customFormat="1" ht="25.15" customHeight="1">
      <c r="A56" s="476"/>
      <c r="B56" s="478"/>
      <c r="C56" s="480"/>
      <c r="D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6" s="474"/>
      <c r="J56" s="482"/>
      <c r="K56" s="482"/>
      <c r="L56" s="489"/>
      <c r="M56" s="489"/>
      <c r="N56" s="489"/>
      <c r="O56" s="489"/>
      <c r="P56" s="489"/>
      <c r="Q56" s="489"/>
      <c r="R56" s="491"/>
    </row>
    <row r="57" spans="1:18" ht="49.9" customHeight="1">
      <c r="A57" s="475" t="e">
        <f>IF(#REF!=0,"",#REF!)</f>
        <v>#REF!</v>
      </c>
      <c r="B57" s="477" t="s">
        <v>38</v>
      </c>
      <c r="C57" s="479" t="e">
        <f>IF(#REF!=0,"",#REF!)</f>
        <v>#REF!</v>
      </c>
      <c r="D57" s="81" t="e">
        <f>IF(#REF!=0,"",#REF!)</f>
        <v>#REF!</v>
      </c>
      <c r="E57" s="81" t="e">
        <f>IF(#REF!=0,"",#REF!)</f>
        <v>#REF!</v>
      </c>
      <c r="F57" s="82" t="e">
        <f>IF(#REF!=0,"",#REF!)</f>
        <v>#REF!</v>
      </c>
      <c r="G57" s="82" t="e">
        <f>IF(#REF!=0,"",#REF!)</f>
        <v>#REF!</v>
      </c>
      <c r="H57" s="82" t="e">
        <f>IF(#REF!=0,"",#REF!)</f>
        <v>#REF!</v>
      </c>
      <c r="I57" s="473" t="e">
        <f>IF(#REF!=0,"",#REF!)</f>
        <v>#REF!</v>
      </c>
      <c r="J57" s="481" t="e">
        <f>IF(#REF!=0,"",#REF!)</f>
        <v>#REF!</v>
      </c>
      <c r="K57" s="481" t="e">
        <f>IF(#REF!=0,"",#REF!)</f>
        <v>#REF!</v>
      </c>
      <c r="L57" s="488" t="str">
        <f>IFERROR(SUMPRODUCT(#REF!,#REF!)/#REF!,"")</f>
        <v/>
      </c>
      <c r="M57" s="488" t="str">
        <f>IFERROR(SUMPRODUCT(#REF!,#REF!)/#REF!,"")</f>
        <v/>
      </c>
      <c r="N57" s="488" t="str">
        <f>IFERROR(SUMPRODUCT(#REF!,#REF!)/#REF!,"")</f>
        <v/>
      </c>
      <c r="O57" s="488" t="str">
        <f>IFERROR(SUMPRODUCT(#REF!,#REF!)/#REF!+2.3,"")</f>
        <v/>
      </c>
      <c r="P57" s="488" t="str">
        <f>IFERROR(SUMPRODUCT(#REF!,#REF!)/#REF!,"")</f>
        <v/>
      </c>
      <c r="Q57" s="488" t="str">
        <f>IFERROR(SUMPRODUCT(#REF!,#REF!)/#REF!,"")</f>
        <v/>
      </c>
      <c r="R57" s="490" t="str">
        <f>IFERROR(L57*70+M57*75+N57*25+O57*45+P57*60+Q57*150,"")</f>
        <v/>
      </c>
    </row>
    <row r="58" spans="1:18" s="22" customFormat="1" ht="25.15" customHeight="1">
      <c r="A58" s="476"/>
      <c r="B58" s="478"/>
      <c r="C58" s="480"/>
      <c r="D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8" s="474"/>
      <c r="J58" s="482"/>
      <c r="K58" s="482"/>
      <c r="L58" s="489"/>
      <c r="M58" s="489"/>
      <c r="N58" s="489"/>
      <c r="O58" s="489"/>
      <c r="P58" s="489"/>
      <c r="Q58" s="489"/>
      <c r="R58" s="491"/>
    </row>
    <row r="59" spans="1:18" ht="49.9" customHeight="1">
      <c r="A59" s="475"/>
      <c r="B59" s="477" t="s">
        <v>39</v>
      </c>
      <c r="C59" s="479"/>
      <c r="D59" s="81"/>
      <c r="E59" s="81"/>
      <c r="F59" s="81"/>
      <c r="G59" s="81"/>
      <c r="H59" s="81"/>
      <c r="I59" s="473"/>
      <c r="J59" s="481"/>
      <c r="K59" s="481"/>
      <c r="L59" s="492"/>
      <c r="M59" s="492"/>
      <c r="N59" s="492"/>
      <c r="O59" s="492"/>
      <c r="P59" s="492"/>
      <c r="Q59" s="492"/>
      <c r="R59" s="490"/>
    </row>
    <row r="60" spans="1:18" s="22" customFormat="1" ht="25.15" customHeight="1">
      <c r="A60" s="476"/>
      <c r="B60" s="478"/>
      <c r="C60" s="480"/>
      <c r="D60" s="21"/>
      <c r="E60" s="21"/>
      <c r="F60" s="21"/>
      <c r="G60" s="21"/>
      <c r="H60" s="21"/>
      <c r="I60" s="474"/>
      <c r="J60" s="482"/>
      <c r="K60" s="482"/>
      <c r="L60" s="493"/>
      <c r="M60" s="493"/>
      <c r="N60" s="493"/>
      <c r="O60" s="493"/>
      <c r="P60" s="493"/>
      <c r="Q60" s="493"/>
      <c r="R60" s="491"/>
    </row>
    <row r="61" spans="1:18" ht="49.9" customHeight="1">
      <c r="A61" s="475" t="e">
        <f>IF(#REF!=0,"",#REF!)</f>
        <v>#REF!</v>
      </c>
      <c r="B61" s="477" t="s">
        <v>22</v>
      </c>
      <c r="C61" s="479" t="e">
        <f>IF(#REF!=0,"",#REF!)</f>
        <v>#REF!</v>
      </c>
      <c r="D61" s="81" t="e">
        <f>IF(#REF!=0,"",#REF!)</f>
        <v>#REF!</v>
      </c>
      <c r="E61" s="81" t="e">
        <f>IF(#REF!=0,"",#REF!)</f>
        <v>#REF!</v>
      </c>
      <c r="F61" s="82" t="e">
        <f>IF(#REF!=0,"",#REF!)</f>
        <v>#REF!</v>
      </c>
      <c r="G61" s="82" t="e">
        <f>IF(#REF!=0,"",#REF!)</f>
        <v>#REF!</v>
      </c>
      <c r="H61" s="82" t="e">
        <f>IF(#REF!=0,"",#REF!)</f>
        <v>#REF!</v>
      </c>
      <c r="I61" s="473" t="e">
        <f>IF(#REF!=0,"",#REF!)</f>
        <v>#REF!</v>
      </c>
      <c r="J61" s="481" t="e">
        <f>IF(#REF!=0,"",#REF!)</f>
        <v>#REF!</v>
      </c>
      <c r="K61" s="481" t="e">
        <f>IF(#REF!=0,"",#REF!)</f>
        <v>#REF!</v>
      </c>
      <c r="L61" s="488" t="str">
        <f>IFERROR(SUMPRODUCT(#REF!,#REF!)/#REF!,"")</f>
        <v/>
      </c>
      <c r="M61" s="488" t="str">
        <f>IFERROR(SUMPRODUCT(#REF!,#REF!)/#REF!,"")</f>
        <v/>
      </c>
      <c r="N61" s="488" t="str">
        <f>IFERROR(SUMPRODUCT(#REF!,#REF!)/#REF!,"")</f>
        <v/>
      </c>
      <c r="O61" s="488" t="str">
        <f>IFERROR(SUMPRODUCT(#REF!,#REF!)/#REF!+2.3,"")</f>
        <v/>
      </c>
      <c r="P61" s="488" t="str">
        <f>IFERROR(SUMPRODUCT(#REF!,#REF!)/#REF!,"")</f>
        <v/>
      </c>
      <c r="Q61" s="488" t="str">
        <f>IFERROR(SUMPRODUCT(#REF!,#REF!)/#REF!,"")</f>
        <v/>
      </c>
      <c r="R61" s="490" t="str">
        <f>IFERROR(L61*70+M61*75+N61*25+O61*45+P61*60+Q61*150,"")</f>
        <v/>
      </c>
    </row>
    <row r="62" spans="1:18" s="22" customFormat="1" ht="25.15" customHeight="1">
      <c r="A62" s="476"/>
      <c r="B62" s="478"/>
      <c r="C62" s="480"/>
      <c r="D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62" s="474"/>
      <c r="J62" s="482"/>
      <c r="K62" s="482"/>
      <c r="L62" s="489"/>
      <c r="M62" s="489"/>
      <c r="N62" s="489"/>
      <c r="O62" s="489"/>
      <c r="P62" s="489"/>
      <c r="Q62" s="489"/>
      <c r="R62" s="491"/>
    </row>
    <row r="63" spans="1:18" ht="49.9" customHeight="1">
      <c r="A63" s="475" t="e">
        <f>IF(#REF!=0,"",#REF!)</f>
        <v>#REF!</v>
      </c>
      <c r="B63" s="477" t="s">
        <v>23</v>
      </c>
      <c r="C63" s="479" t="e">
        <f>IF(#REF!=0,"",#REF!)</f>
        <v>#REF!</v>
      </c>
      <c r="D63" s="81" t="e">
        <f>IF(#REF!=0,"",#REF!)</f>
        <v>#REF!</v>
      </c>
      <c r="E63" s="81" t="e">
        <f>IF(#REF!=0,"",#REF!)</f>
        <v>#REF!</v>
      </c>
      <c r="F63" s="82" t="e">
        <f>IF(#REF!=0,"",#REF!)</f>
        <v>#REF!</v>
      </c>
      <c r="G63" s="82" t="e">
        <f>IF(#REF!=0,"",#REF!)</f>
        <v>#REF!</v>
      </c>
      <c r="H63" s="82" t="e">
        <f>IF(#REF!=0,"",#REF!)</f>
        <v>#REF!</v>
      </c>
      <c r="I63" s="473" t="e">
        <f>IF(#REF!=0,"",#REF!)</f>
        <v>#REF!</v>
      </c>
      <c r="J63" s="481" t="e">
        <f>IF(#REF!=0,"",#REF!)</f>
        <v>#REF!</v>
      </c>
      <c r="K63" s="481" t="e">
        <f>IF(#REF!=0,"",#REF!)</f>
        <v>#REF!</v>
      </c>
      <c r="L63" s="488" t="str">
        <f>IFERROR(SUMPRODUCT(#REF!,#REF!)/#REF!,"")</f>
        <v/>
      </c>
      <c r="M63" s="488" t="str">
        <f>IFERROR(SUMPRODUCT(#REF!,#REF!)/#REF!,"")</f>
        <v/>
      </c>
      <c r="N63" s="488" t="str">
        <f>IFERROR(SUMPRODUCT(#REF!,#REF!)/#REF!,"")</f>
        <v/>
      </c>
      <c r="O63" s="488" t="str">
        <f>IFERROR(SUMPRODUCT(#REF!,#REF!)/#REF!+2.3,"")</f>
        <v/>
      </c>
      <c r="P63" s="488" t="str">
        <f>IFERROR(SUMPRODUCT(#REF!,#REF!)/#REF!,"")</f>
        <v/>
      </c>
      <c r="Q63" s="488" t="str">
        <f>IFERROR(SUMPRODUCT(#REF!,#REF!)/#REF!,"")</f>
        <v/>
      </c>
      <c r="R63" s="490" t="str">
        <f>IFERROR(L63*70+M63*75+N63*25+O63*45+P63*60+Q63*150,"")</f>
        <v/>
      </c>
    </row>
    <row r="64" spans="1:18" s="22" customFormat="1" ht="25.15" customHeight="1">
      <c r="A64" s="476"/>
      <c r="B64" s="478"/>
      <c r="C64" s="480"/>
      <c r="D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64" s="474"/>
      <c r="J64" s="482"/>
      <c r="K64" s="482"/>
      <c r="L64" s="489"/>
      <c r="M64" s="489"/>
      <c r="N64" s="489"/>
      <c r="O64" s="489"/>
      <c r="P64" s="489"/>
      <c r="Q64" s="489"/>
      <c r="R64" s="491"/>
    </row>
    <row r="65" spans="1:18" ht="49.9" customHeight="1">
      <c r="A65" s="475" t="e">
        <f>IF(#REF!=0,"",#REF!)</f>
        <v>#REF!</v>
      </c>
      <c r="B65" s="477" t="s">
        <v>24</v>
      </c>
      <c r="C65" s="479" t="e">
        <f>IF(#REF!=0,"",#REF!)</f>
        <v>#REF!</v>
      </c>
      <c r="D65" s="81" t="e">
        <f>IF(#REF!=0,"",#REF!)</f>
        <v>#REF!</v>
      </c>
      <c r="E65" s="81" t="e">
        <f>IF(#REF!=0,"",#REF!)</f>
        <v>#REF!</v>
      </c>
      <c r="F65" s="82"/>
      <c r="G65" s="82" t="e">
        <f>IF(#REF!=0,"",#REF!)</f>
        <v>#REF!</v>
      </c>
      <c r="H65" s="82" t="e">
        <f>IF(#REF!=0,"",#REF!)</f>
        <v>#REF!</v>
      </c>
      <c r="I65" s="473" t="e">
        <f>IF(#REF!=0,"",#REF!)</f>
        <v>#REF!</v>
      </c>
      <c r="J65" s="481" t="e">
        <f>IF(#REF!=0,"",#REF!)</f>
        <v>#REF!</v>
      </c>
      <c r="K65" s="481" t="e">
        <f>IF(#REF!=0,"",#REF!)</f>
        <v>#REF!</v>
      </c>
      <c r="L65" s="488" t="str">
        <f>IFERROR(SUMPRODUCT(#REF!,#REF!)/#REF!,"")</f>
        <v/>
      </c>
      <c r="M65" s="488" t="str">
        <f>IFERROR(SUMPRODUCT(#REF!,#REF!)/#REF!,"")</f>
        <v/>
      </c>
      <c r="N65" s="488" t="str">
        <f>IFERROR(SUMPRODUCT(#REF!,#REF!)/#REF!,"")</f>
        <v/>
      </c>
      <c r="O65" s="488" t="str">
        <f>IFERROR(SUMPRODUCT(#REF!,#REF!)/#REF!+2.3,"")</f>
        <v/>
      </c>
      <c r="P65" s="488" t="str">
        <f>IFERROR(SUMPRODUCT(#REF!,#REF!)/#REF!,"")</f>
        <v/>
      </c>
      <c r="Q65" s="488" t="str">
        <f>IFERROR(SUMPRODUCT(#REF!,#REF!)/#REF!,"")</f>
        <v/>
      </c>
      <c r="R65" s="490" t="str">
        <f>IFERROR(L65*70+M65*75+N65*25+O65*45+P65*60+Q65*150,"")</f>
        <v/>
      </c>
    </row>
    <row r="66" spans="1:18" s="22" customFormat="1" ht="25.15" customHeight="1">
      <c r="A66" s="476"/>
      <c r="B66" s="478"/>
      <c r="C66" s="480"/>
      <c r="D6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6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66" s="21"/>
      <c r="G6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6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66" s="474"/>
      <c r="J66" s="482"/>
      <c r="K66" s="482"/>
      <c r="L66" s="489"/>
      <c r="M66" s="489"/>
      <c r="N66" s="489"/>
      <c r="O66" s="489"/>
      <c r="P66" s="489"/>
      <c r="Q66" s="489"/>
      <c r="R66" s="491"/>
    </row>
    <row r="67" spans="1:18" ht="49.9" customHeight="1">
      <c r="A67" s="475" t="e">
        <f>IF(#REF!=0,"",#REF!)</f>
        <v>#REF!</v>
      </c>
      <c r="B67" s="477" t="s">
        <v>25</v>
      </c>
      <c r="C67" s="479" t="e">
        <f>IF(#REF!=0,"",#REF!)</f>
        <v>#REF!</v>
      </c>
      <c r="D67" s="81" t="e">
        <f>IF(#REF!=0,"",#REF!)</f>
        <v>#REF!</v>
      </c>
      <c r="E67" s="81" t="e">
        <f>IF(#REF!=0,"",#REF!)</f>
        <v>#REF!</v>
      </c>
      <c r="F67" s="82" t="e">
        <f>IF(#REF!=0,"",#REF!)</f>
        <v>#REF!</v>
      </c>
      <c r="G67" s="82" t="e">
        <f>IF(#REF!=0,"",#REF!)</f>
        <v>#REF!</v>
      </c>
      <c r="H67" s="82" t="e">
        <f>IF(#REF!=0,"",#REF!)</f>
        <v>#REF!</v>
      </c>
      <c r="I67" s="473" t="e">
        <f>IF(#REF!=0,"",#REF!)</f>
        <v>#REF!</v>
      </c>
      <c r="J67" s="481" t="e">
        <f>IF(#REF!=0,"",#REF!)</f>
        <v>#REF!</v>
      </c>
      <c r="K67" s="481" t="e">
        <f>IF(#REF!=0,"",#REF!)</f>
        <v>#REF!</v>
      </c>
      <c r="L67" s="488" t="str">
        <f>IFERROR(SUMPRODUCT(#REF!,#REF!)/#REF!,"")</f>
        <v/>
      </c>
      <c r="M67" s="488" t="str">
        <f>IFERROR(SUMPRODUCT(#REF!,#REF!)/#REF!,"")</f>
        <v/>
      </c>
      <c r="N67" s="488" t="str">
        <f>IFERROR(SUMPRODUCT(#REF!,#REF!)/#REF!,"")</f>
        <v/>
      </c>
      <c r="O67" s="488" t="str">
        <f>IFERROR(SUMPRODUCT(#REF!,#REF!)/#REF!+2.3,"")</f>
        <v/>
      </c>
      <c r="P67" s="488" t="str">
        <f>IFERROR(SUMPRODUCT(#REF!,#REF!)/#REF!,"")</f>
        <v/>
      </c>
      <c r="Q67" s="488" t="str">
        <f>IFERROR(SUMPRODUCT(#REF!,#REF!)/#REF!,"")</f>
        <v/>
      </c>
      <c r="R67" s="490" t="str">
        <f>IFERROR(L67*70+M67*75+N67*25+O67*45+P67*60+Q67*150,"")</f>
        <v/>
      </c>
    </row>
    <row r="68" spans="1:18" s="22" customFormat="1" ht="25.15" customHeight="1">
      <c r="A68" s="476"/>
      <c r="B68" s="478"/>
      <c r="C68" s="480"/>
      <c r="D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68" s="474"/>
      <c r="J68" s="482"/>
      <c r="K68" s="482"/>
      <c r="L68" s="489"/>
      <c r="M68" s="489"/>
      <c r="N68" s="489"/>
      <c r="O68" s="489"/>
      <c r="P68" s="489"/>
      <c r="Q68" s="489"/>
      <c r="R68" s="491"/>
    </row>
    <row r="69" spans="1:18" ht="49.9" customHeight="1">
      <c r="A69" s="475" t="e">
        <f>IF(#REF!=0,"",#REF!)</f>
        <v>#REF!</v>
      </c>
      <c r="B69" s="477" t="s">
        <v>37</v>
      </c>
      <c r="C69" s="479" t="e">
        <f>IF(#REF!=0,"",#REF!)</f>
        <v>#REF!</v>
      </c>
      <c r="D69" s="81" t="e">
        <f>IF(#REF!=0,"",#REF!)</f>
        <v>#REF!</v>
      </c>
      <c r="E69" s="81" t="e">
        <f>IF(#REF!=0,"",#REF!)</f>
        <v>#REF!</v>
      </c>
      <c r="F69" s="82" t="e">
        <f>IF(#REF!=0,"",#REF!)</f>
        <v>#REF!</v>
      </c>
      <c r="G69" s="82" t="e">
        <f>IF(#REF!=0,"",#REF!)</f>
        <v>#REF!</v>
      </c>
      <c r="H69" s="82" t="e">
        <f>IF(#REF!=0,"",#REF!)</f>
        <v>#REF!</v>
      </c>
      <c r="I69" s="473" t="e">
        <f>IF(#REF!=0,"",#REF!)</f>
        <v>#REF!</v>
      </c>
      <c r="J69" s="481" t="e">
        <f>IF(#REF!=0,"",#REF!)</f>
        <v>#REF!</v>
      </c>
      <c r="K69" s="481" t="e">
        <f>IF(#REF!=0,"",#REF!)</f>
        <v>#REF!</v>
      </c>
      <c r="L69" s="488" t="str">
        <f>IFERROR(SUMPRODUCT(#REF!,#REF!)/#REF!,"")</f>
        <v/>
      </c>
      <c r="M69" s="488" t="str">
        <f>IFERROR(SUMPRODUCT(#REF!,#REF!)/#REF!,"")</f>
        <v/>
      </c>
      <c r="N69" s="488" t="str">
        <f>IFERROR(SUMPRODUCT(#REF!,#REF!)/#REF!,"")</f>
        <v/>
      </c>
      <c r="O69" s="488" t="str">
        <f>IFERROR(SUMPRODUCT(#REF!,#REF!)/#REF!+2.3,"")</f>
        <v/>
      </c>
      <c r="P69" s="488" t="str">
        <f>IFERROR(SUMPRODUCT(#REF!,#REF!)/#REF!,"")</f>
        <v/>
      </c>
      <c r="Q69" s="488" t="str">
        <f>IFERROR(SUMPRODUCT(#REF!,#REF!)/#REF!,"")</f>
        <v/>
      </c>
      <c r="R69" s="490" t="str">
        <f>IFERROR(L69*70+M69*75+N69*25+O69*45+P69*60+Q69*150,"")</f>
        <v/>
      </c>
    </row>
    <row r="70" spans="1:18" s="22" customFormat="1" ht="25.15" customHeight="1">
      <c r="A70" s="476"/>
      <c r="B70" s="478"/>
      <c r="C70" s="480"/>
      <c r="D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70" s="474"/>
      <c r="J70" s="482"/>
      <c r="K70" s="482"/>
      <c r="L70" s="489"/>
      <c r="M70" s="489"/>
      <c r="N70" s="489"/>
      <c r="O70" s="489"/>
      <c r="P70" s="489"/>
      <c r="Q70" s="489"/>
      <c r="R70" s="491"/>
    </row>
    <row r="71" spans="1:18" ht="49.9" customHeight="1">
      <c r="A71" s="475" t="e">
        <f>IF(#REF!=0,"",#REF!)</f>
        <v>#REF!</v>
      </c>
      <c r="B71" s="477" t="s">
        <v>38</v>
      </c>
      <c r="C71" s="479" t="e">
        <f>IF(#REF!=0,"",#REF!)</f>
        <v>#REF!</v>
      </c>
      <c r="D71" s="81" t="e">
        <f>IF(#REF!=0,"",#REF!)</f>
        <v>#REF!</v>
      </c>
      <c r="E71" s="81" t="e">
        <f>IF(#REF!=0,"",#REF!)</f>
        <v>#REF!</v>
      </c>
      <c r="F71" s="82" t="e">
        <f>IF(#REF!=0,"",#REF!)</f>
        <v>#REF!</v>
      </c>
      <c r="G71" s="82" t="e">
        <f>IF(#REF!=0,"",#REF!)</f>
        <v>#REF!</v>
      </c>
      <c r="H71" s="82" t="e">
        <f>IF(#REF!=0,"",#REF!)</f>
        <v>#REF!</v>
      </c>
      <c r="I71" s="473" t="e">
        <f>IF(#REF!=0,"",#REF!)</f>
        <v>#REF!</v>
      </c>
      <c r="J71" s="481" t="e">
        <f>IF(#REF!=0,"",#REF!)</f>
        <v>#REF!</v>
      </c>
      <c r="K71" s="481" t="e">
        <f>IF(#REF!=0,"",#REF!)</f>
        <v>#REF!</v>
      </c>
      <c r="L71" s="488" t="str">
        <f>IFERROR(SUMPRODUCT(#REF!,#REF!)/#REF!,"")</f>
        <v/>
      </c>
      <c r="M71" s="488" t="str">
        <f>IFERROR(SUMPRODUCT(#REF!,#REF!)/#REF!,"")</f>
        <v/>
      </c>
      <c r="N71" s="488" t="str">
        <f>IFERROR(SUMPRODUCT(#REF!,#REF!)/#REF!,"")</f>
        <v/>
      </c>
      <c r="O71" s="488" t="str">
        <f>IFERROR(SUMPRODUCT(#REF!,#REF!)/#REF!+2.3,"")</f>
        <v/>
      </c>
      <c r="P71" s="488" t="str">
        <f>IFERROR(SUMPRODUCT(#REF!,#REF!)/#REF!,"")</f>
        <v/>
      </c>
      <c r="Q71" s="488" t="str">
        <f>IFERROR(SUMPRODUCT(#REF!,#REF!)/#REF!,"")</f>
        <v/>
      </c>
      <c r="R71" s="490" t="str">
        <f>IFERROR(L71*70+M71*75+N71*25+O71*45+P71*60+Q71*150,"")</f>
        <v/>
      </c>
    </row>
    <row r="72" spans="1:18" s="22" customFormat="1" ht="25.15" customHeight="1">
      <c r="A72" s="476"/>
      <c r="B72" s="478"/>
      <c r="C72" s="480"/>
      <c r="D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72" s="474"/>
      <c r="J72" s="482"/>
      <c r="K72" s="482"/>
      <c r="L72" s="489"/>
      <c r="M72" s="489"/>
      <c r="N72" s="489"/>
      <c r="O72" s="489"/>
      <c r="P72" s="489"/>
      <c r="Q72" s="489"/>
      <c r="R72" s="491"/>
    </row>
    <row r="73" spans="1:18" ht="49.9" customHeight="1">
      <c r="A73" s="475"/>
      <c r="B73" s="477" t="s">
        <v>39</v>
      </c>
      <c r="C73" s="479"/>
      <c r="D73" s="81"/>
      <c r="E73" s="81"/>
      <c r="F73" s="81"/>
      <c r="G73" s="81"/>
      <c r="H73" s="81"/>
      <c r="I73" s="473"/>
      <c r="J73" s="481"/>
      <c r="K73" s="481"/>
      <c r="L73" s="492"/>
      <c r="M73" s="492"/>
      <c r="N73" s="492"/>
      <c r="O73" s="492"/>
      <c r="P73" s="492"/>
      <c r="Q73" s="492"/>
      <c r="R73" s="490"/>
    </row>
    <row r="74" spans="1:18" s="22" customFormat="1" ht="25.15" customHeight="1">
      <c r="A74" s="476"/>
      <c r="B74" s="478"/>
      <c r="C74" s="480"/>
      <c r="D74" s="21"/>
      <c r="E74" s="21"/>
      <c r="F74" s="21"/>
      <c r="G74" s="21"/>
      <c r="H74" s="21"/>
      <c r="I74" s="474"/>
      <c r="J74" s="482"/>
      <c r="K74" s="482"/>
      <c r="L74" s="493"/>
      <c r="M74" s="493"/>
      <c r="N74" s="493"/>
      <c r="O74" s="493"/>
      <c r="P74" s="493"/>
      <c r="Q74" s="493"/>
      <c r="R74" s="491"/>
    </row>
    <row r="75" spans="1:18">
      <c r="A75" s="24"/>
      <c r="B75" s="24"/>
      <c r="C75" s="88" t="s">
        <v>42</v>
      </c>
      <c r="D75" s="89"/>
      <c r="E75" s="89"/>
      <c r="F75" s="24"/>
      <c r="G75" s="24"/>
      <c r="H75" s="24"/>
      <c r="I75" s="24"/>
    </row>
    <row r="76" spans="1:18">
      <c r="A76" s="24"/>
      <c r="B76" s="24"/>
      <c r="C76" s="88" t="s">
        <v>43</v>
      </c>
      <c r="D76" s="24"/>
      <c r="E76" s="24"/>
      <c r="F76" s="24"/>
      <c r="G76" s="24"/>
      <c r="H76" s="24"/>
      <c r="I76" s="24"/>
    </row>
    <row r="77" spans="1:18">
      <c r="A77" s="24"/>
      <c r="B77" s="24"/>
      <c r="C77" s="88" t="s">
        <v>44</v>
      </c>
      <c r="D77" s="24"/>
      <c r="E77" s="24"/>
      <c r="F77" s="24"/>
      <c r="G77" s="24"/>
      <c r="H77" s="24"/>
      <c r="I77" s="24"/>
    </row>
    <row r="80" spans="1:18" ht="16.5">
      <c r="A80" s="483"/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</row>
    <row r="82" ht="24.4" hidden="1" customHeight="1"/>
  </sheetData>
  <mergeCells count="458">
    <mergeCell ref="L71:L72"/>
    <mergeCell ref="M71:M72"/>
    <mergeCell ref="N71:N72"/>
    <mergeCell ref="O71:O72"/>
    <mergeCell ref="P71:P72"/>
    <mergeCell ref="Q71:Q72"/>
    <mergeCell ref="R71:R72"/>
    <mergeCell ref="L73:L74"/>
    <mergeCell ref="M73:M74"/>
    <mergeCell ref="N73:N74"/>
    <mergeCell ref="O73:O74"/>
    <mergeCell ref="P73:P74"/>
    <mergeCell ref="Q73:Q74"/>
    <mergeCell ref="R73:R74"/>
    <mergeCell ref="L67:L68"/>
    <mergeCell ref="M67:M68"/>
    <mergeCell ref="N67:N68"/>
    <mergeCell ref="O67:O68"/>
    <mergeCell ref="P67:P68"/>
    <mergeCell ref="Q67:Q68"/>
    <mergeCell ref="R67:R68"/>
    <mergeCell ref="L69:L70"/>
    <mergeCell ref="M69:M70"/>
    <mergeCell ref="N69:N70"/>
    <mergeCell ref="O69:O70"/>
    <mergeCell ref="P69:P70"/>
    <mergeCell ref="Q69:Q70"/>
    <mergeCell ref="R69:R70"/>
    <mergeCell ref="L63:L64"/>
    <mergeCell ref="M63:M64"/>
    <mergeCell ref="N63:N64"/>
    <mergeCell ref="O63:O64"/>
    <mergeCell ref="P63:P64"/>
    <mergeCell ref="Q63:Q64"/>
    <mergeCell ref="R63:R64"/>
    <mergeCell ref="L65:L66"/>
    <mergeCell ref="M65:M66"/>
    <mergeCell ref="N65:N66"/>
    <mergeCell ref="O65:O66"/>
    <mergeCell ref="P65:P66"/>
    <mergeCell ref="Q65:Q66"/>
    <mergeCell ref="R65:R66"/>
    <mergeCell ref="L59:L60"/>
    <mergeCell ref="M59:M60"/>
    <mergeCell ref="N59:N60"/>
    <mergeCell ref="O59:O60"/>
    <mergeCell ref="P59:P60"/>
    <mergeCell ref="Q59:Q60"/>
    <mergeCell ref="R59:R60"/>
    <mergeCell ref="L61:L62"/>
    <mergeCell ref="M61:M62"/>
    <mergeCell ref="N61:N62"/>
    <mergeCell ref="O61:O62"/>
    <mergeCell ref="P61:P62"/>
    <mergeCell ref="Q61:Q62"/>
    <mergeCell ref="R61:R62"/>
    <mergeCell ref="L55:L56"/>
    <mergeCell ref="M55:M56"/>
    <mergeCell ref="N55:N56"/>
    <mergeCell ref="O55:O56"/>
    <mergeCell ref="P55:P56"/>
    <mergeCell ref="Q55:Q56"/>
    <mergeCell ref="R55:R56"/>
    <mergeCell ref="L57:L58"/>
    <mergeCell ref="M57:M58"/>
    <mergeCell ref="N57:N58"/>
    <mergeCell ref="O57:O58"/>
    <mergeCell ref="P57:P58"/>
    <mergeCell ref="Q57:Q58"/>
    <mergeCell ref="R57:R58"/>
    <mergeCell ref="L51:L52"/>
    <mergeCell ref="M51:M52"/>
    <mergeCell ref="N51:N52"/>
    <mergeCell ref="O51:O52"/>
    <mergeCell ref="P51:P52"/>
    <mergeCell ref="Q51:Q52"/>
    <mergeCell ref="R51:R52"/>
    <mergeCell ref="L53:L54"/>
    <mergeCell ref="M53:M54"/>
    <mergeCell ref="N53:N54"/>
    <mergeCell ref="O53:O54"/>
    <mergeCell ref="P53:P54"/>
    <mergeCell ref="Q53:Q54"/>
    <mergeCell ref="R53:R54"/>
    <mergeCell ref="L47:L48"/>
    <mergeCell ref="M47:M48"/>
    <mergeCell ref="N47:N48"/>
    <mergeCell ref="O47:O48"/>
    <mergeCell ref="P47:P48"/>
    <mergeCell ref="Q47:Q48"/>
    <mergeCell ref="R47:R48"/>
    <mergeCell ref="L49:L50"/>
    <mergeCell ref="M49:M50"/>
    <mergeCell ref="N49:N50"/>
    <mergeCell ref="O49:O50"/>
    <mergeCell ref="P49:P50"/>
    <mergeCell ref="Q49:Q50"/>
    <mergeCell ref="R49:R50"/>
    <mergeCell ref="L43:L44"/>
    <mergeCell ref="M43:M44"/>
    <mergeCell ref="N43:N44"/>
    <mergeCell ref="O43:O44"/>
    <mergeCell ref="P43:P44"/>
    <mergeCell ref="Q43:Q44"/>
    <mergeCell ref="R43:R44"/>
    <mergeCell ref="L45:L46"/>
    <mergeCell ref="M45:M46"/>
    <mergeCell ref="N45:N46"/>
    <mergeCell ref="O45:O46"/>
    <mergeCell ref="P45:P46"/>
    <mergeCell ref="Q45:Q46"/>
    <mergeCell ref="R45:R46"/>
    <mergeCell ref="L39:L40"/>
    <mergeCell ref="M39:M40"/>
    <mergeCell ref="N39:N40"/>
    <mergeCell ref="O39:O40"/>
    <mergeCell ref="P39:P40"/>
    <mergeCell ref="Q39:Q40"/>
    <mergeCell ref="R39:R40"/>
    <mergeCell ref="L41:L42"/>
    <mergeCell ref="M41:M42"/>
    <mergeCell ref="N41:N42"/>
    <mergeCell ref="O41:O42"/>
    <mergeCell ref="P41:P42"/>
    <mergeCell ref="Q41:Q42"/>
    <mergeCell ref="R41:R42"/>
    <mergeCell ref="L35:L36"/>
    <mergeCell ref="M35:M36"/>
    <mergeCell ref="N35:N36"/>
    <mergeCell ref="O35:O36"/>
    <mergeCell ref="P35:P36"/>
    <mergeCell ref="Q35:Q36"/>
    <mergeCell ref="R35:R36"/>
    <mergeCell ref="L37:L38"/>
    <mergeCell ref="M37:M38"/>
    <mergeCell ref="N37:N38"/>
    <mergeCell ref="O37:O38"/>
    <mergeCell ref="P37:P38"/>
    <mergeCell ref="Q37:Q38"/>
    <mergeCell ref="R37:R38"/>
    <mergeCell ref="L31:L32"/>
    <mergeCell ref="M31:M32"/>
    <mergeCell ref="N31:N32"/>
    <mergeCell ref="O31:O32"/>
    <mergeCell ref="P31:P32"/>
    <mergeCell ref="Q31:Q32"/>
    <mergeCell ref="R31:R32"/>
    <mergeCell ref="L33:L34"/>
    <mergeCell ref="M33:M34"/>
    <mergeCell ref="N33:N34"/>
    <mergeCell ref="O33:O34"/>
    <mergeCell ref="P33:P34"/>
    <mergeCell ref="Q33:Q34"/>
    <mergeCell ref="R33:R34"/>
    <mergeCell ref="L27:L28"/>
    <mergeCell ref="M27:M28"/>
    <mergeCell ref="N27:N28"/>
    <mergeCell ref="O27:O28"/>
    <mergeCell ref="P27:P28"/>
    <mergeCell ref="Q27:Q28"/>
    <mergeCell ref="R27:R28"/>
    <mergeCell ref="L29:L30"/>
    <mergeCell ref="M29:M30"/>
    <mergeCell ref="N29:N30"/>
    <mergeCell ref="O29:O30"/>
    <mergeCell ref="P29:P30"/>
    <mergeCell ref="Q29:Q30"/>
    <mergeCell ref="R29:R30"/>
    <mergeCell ref="L23:L24"/>
    <mergeCell ref="M23:M24"/>
    <mergeCell ref="N23:N24"/>
    <mergeCell ref="O23:O24"/>
    <mergeCell ref="P23:P24"/>
    <mergeCell ref="Q23:Q24"/>
    <mergeCell ref="R23:R24"/>
    <mergeCell ref="L25:L26"/>
    <mergeCell ref="M25:M26"/>
    <mergeCell ref="N25:N26"/>
    <mergeCell ref="O25:O26"/>
    <mergeCell ref="P25:P26"/>
    <mergeCell ref="Q25:Q26"/>
    <mergeCell ref="R25:R26"/>
    <mergeCell ref="L19:L20"/>
    <mergeCell ref="M19:M20"/>
    <mergeCell ref="N19:N20"/>
    <mergeCell ref="O19:O20"/>
    <mergeCell ref="P19:P20"/>
    <mergeCell ref="Q19:Q20"/>
    <mergeCell ref="R19:R20"/>
    <mergeCell ref="L21:L22"/>
    <mergeCell ref="M21:M22"/>
    <mergeCell ref="N21:N22"/>
    <mergeCell ref="O21:O22"/>
    <mergeCell ref="P21:P22"/>
    <mergeCell ref="Q21:Q22"/>
    <mergeCell ref="R21:R22"/>
    <mergeCell ref="L15:L16"/>
    <mergeCell ref="M15:M16"/>
    <mergeCell ref="N15:N16"/>
    <mergeCell ref="O15:O16"/>
    <mergeCell ref="P15:P16"/>
    <mergeCell ref="Q15:Q16"/>
    <mergeCell ref="R15:R16"/>
    <mergeCell ref="L17:L18"/>
    <mergeCell ref="M17:M18"/>
    <mergeCell ref="N17:N18"/>
    <mergeCell ref="O17:O18"/>
    <mergeCell ref="P17:P18"/>
    <mergeCell ref="Q17:Q18"/>
    <mergeCell ref="R17:R18"/>
    <mergeCell ref="L11:L12"/>
    <mergeCell ref="M11:M12"/>
    <mergeCell ref="N11:N12"/>
    <mergeCell ref="O11:O12"/>
    <mergeCell ref="P11:P12"/>
    <mergeCell ref="Q11:Q12"/>
    <mergeCell ref="R11:R12"/>
    <mergeCell ref="L13:L14"/>
    <mergeCell ref="M13:M14"/>
    <mergeCell ref="N13:N14"/>
    <mergeCell ref="O13:O14"/>
    <mergeCell ref="P13:P14"/>
    <mergeCell ref="Q13:Q14"/>
    <mergeCell ref="R13:R14"/>
    <mergeCell ref="Q7:Q8"/>
    <mergeCell ref="R7:R8"/>
    <mergeCell ref="L9:L10"/>
    <mergeCell ref="M9:M10"/>
    <mergeCell ref="N9:N10"/>
    <mergeCell ref="O9:O10"/>
    <mergeCell ref="P9:P10"/>
    <mergeCell ref="Q9:Q10"/>
    <mergeCell ref="R9:R10"/>
    <mergeCell ref="A7:A8"/>
    <mergeCell ref="B7:B8"/>
    <mergeCell ref="C7:C8"/>
    <mergeCell ref="J7:J8"/>
    <mergeCell ref="K7:K8"/>
    <mergeCell ref="A2:R2"/>
    <mergeCell ref="A3:R3"/>
    <mergeCell ref="A5:A6"/>
    <mergeCell ref="B5:B6"/>
    <mergeCell ref="C5:C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L7:L8"/>
    <mergeCell ref="M7:M8"/>
    <mergeCell ref="N7:N8"/>
    <mergeCell ref="O7:O8"/>
    <mergeCell ref="P7:P8"/>
    <mergeCell ref="A11:A12"/>
    <mergeCell ref="B11:B12"/>
    <mergeCell ref="C11:C12"/>
    <mergeCell ref="J11:J12"/>
    <mergeCell ref="K11:K12"/>
    <mergeCell ref="A9:A10"/>
    <mergeCell ref="B9:B10"/>
    <mergeCell ref="C9:C10"/>
    <mergeCell ref="J9:J10"/>
    <mergeCell ref="K9:K10"/>
    <mergeCell ref="A15:A16"/>
    <mergeCell ref="B15:B16"/>
    <mergeCell ref="C15:C16"/>
    <mergeCell ref="J15:J16"/>
    <mergeCell ref="K15:K16"/>
    <mergeCell ref="A13:A14"/>
    <mergeCell ref="B13:B14"/>
    <mergeCell ref="C13:C14"/>
    <mergeCell ref="J13:J14"/>
    <mergeCell ref="K13:K14"/>
    <mergeCell ref="A49:A50"/>
    <mergeCell ref="B49:B50"/>
    <mergeCell ref="C49:C50"/>
    <mergeCell ref="J49:J50"/>
    <mergeCell ref="K49:K50"/>
    <mergeCell ref="A17:A18"/>
    <mergeCell ref="B17:B18"/>
    <mergeCell ref="C17:C18"/>
    <mergeCell ref="J17:J18"/>
    <mergeCell ref="K17:K18"/>
    <mergeCell ref="J21:J22"/>
    <mergeCell ref="K21:K22"/>
    <mergeCell ref="A23:A24"/>
    <mergeCell ref="B23:B24"/>
    <mergeCell ref="C23:C24"/>
    <mergeCell ref="J23:J24"/>
    <mergeCell ref="K23:K24"/>
    <mergeCell ref="A27:A28"/>
    <mergeCell ref="B27:B28"/>
    <mergeCell ref="C27:C28"/>
    <mergeCell ref="J27:J28"/>
    <mergeCell ref="K27:K28"/>
    <mergeCell ref="A25:A26"/>
    <mergeCell ref="B25:B26"/>
    <mergeCell ref="A53:A54"/>
    <mergeCell ref="B53:B54"/>
    <mergeCell ref="C53:C54"/>
    <mergeCell ref="J53:J54"/>
    <mergeCell ref="K53:K54"/>
    <mergeCell ref="A51:A52"/>
    <mergeCell ref="B51:B52"/>
    <mergeCell ref="C51:C52"/>
    <mergeCell ref="J51:J52"/>
    <mergeCell ref="K51:K52"/>
    <mergeCell ref="A57:A58"/>
    <mergeCell ref="B57:B58"/>
    <mergeCell ref="C57:C58"/>
    <mergeCell ref="J57:J58"/>
    <mergeCell ref="K57:K58"/>
    <mergeCell ref="A55:A56"/>
    <mergeCell ref="B55:B56"/>
    <mergeCell ref="C55:C56"/>
    <mergeCell ref="J55:J56"/>
    <mergeCell ref="K55:K56"/>
    <mergeCell ref="A61:A62"/>
    <mergeCell ref="B61:B62"/>
    <mergeCell ref="C61:C62"/>
    <mergeCell ref="J61:J62"/>
    <mergeCell ref="K61:K62"/>
    <mergeCell ref="A59:A60"/>
    <mergeCell ref="B59:B60"/>
    <mergeCell ref="C59:C60"/>
    <mergeCell ref="J59:J60"/>
    <mergeCell ref="K59:K60"/>
    <mergeCell ref="A65:A66"/>
    <mergeCell ref="B65:B66"/>
    <mergeCell ref="C65:C66"/>
    <mergeCell ref="J65:J66"/>
    <mergeCell ref="K65:K66"/>
    <mergeCell ref="A63:A64"/>
    <mergeCell ref="B63:B64"/>
    <mergeCell ref="C63:C64"/>
    <mergeCell ref="J63:J64"/>
    <mergeCell ref="K63:K64"/>
    <mergeCell ref="J71:J72"/>
    <mergeCell ref="K71:K72"/>
    <mergeCell ref="A69:A70"/>
    <mergeCell ref="B69:B70"/>
    <mergeCell ref="C69:C70"/>
    <mergeCell ref="J69:J70"/>
    <mergeCell ref="K69:K70"/>
    <mergeCell ref="A67:A68"/>
    <mergeCell ref="B67:B68"/>
    <mergeCell ref="C67:C68"/>
    <mergeCell ref="J67:J68"/>
    <mergeCell ref="K67:K68"/>
    <mergeCell ref="I67:I68"/>
    <mergeCell ref="I69:I70"/>
    <mergeCell ref="I71:I72"/>
    <mergeCell ref="C25:C26"/>
    <mergeCell ref="J25:J26"/>
    <mergeCell ref="K25:K26"/>
    <mergeCell ref="A80:R80"/>
    <mergeCell ref="A19:A20"/>
    <mergeCell ref="B19:B20"/>
    <mergeCell ref="C19:C20"/>
    <mergeCell ref="J19:J20"/>
    <mergeCell ref="K19:K20"/>
    <mergeCell ref="A21:A22"/>
    <mergeCell ref="B21:B22"/>
    <mergeCell ref="C21:C22"/>
    <mergeCell ref="A73:A74"/>
    <mergeCell ref="B73:B74"/>
    <mergeCell ref="C73:C74"/>
    <mergeCell ref="J73:J74"/>
    <mergeCell ref="K73:K74"/>
    <mergeCell ref="A71:A72"/>
    <mergeCell ref="B71:B72"/>
    <mergeCell ref="C71:C72"/>
    <mergeCell ref="A31:A32"/>
    <mergeCell ref="B31:B32"/>
    <mergeCell ref="C31:C32"/>
    <mergeCell ref="J31:J32"/>
    <mergeCell ref="K31:K32"/>
    <mergeCell ref="A29:A30"/>
    <mergeCell ref="B29:B30"/>
    <mergeCell ref="C29:C30"/>
    <mergeCell ref="J29:J30"/>
    <mergeCell ref="K29:K30"/>
    <mergeCell ref="A35:A36"/>
    <mergeCell ref="B35:B36"/>
    <mergeCell ref="C35:C36"/>
    <mergeCell ref="J35:J36"/>
    <mergeCell ref="K35:K36"/>
    <mergeCell ref="A33:A34"/>
    <mergeCell ref="B33:B34"/>
    <mergeCell ref="C33:C34"/>
    <mergeCell ref="J33:J34"/>
    <mergeCell ref="K33:K34"/>
    <mergeCell ref="A39:A40"/>
    <mergeCell ref="B39:B40"/>
    <mergeCell ref="C39:C40"/>
    <mergeCell ref="J39:J40"/>
    <mergeCell ref="K39:K40"/>
    <mergeCell ref="A37:A38"/>
    <mergeCell ref="B37:B38"/>
    <mergeCell ref="C37:C38"/>
    <mergeCell ref="J37:J38"/>
    <mergeCell ref="K37:K38"/>
    <mergeCell ref="A43:A44"/>
    <mergeCell ref="B43:B44"/>
    <mergeCell ref="C43:C44"/>
    <mergeCell ref="J43:J44"/>
    <mergeCell ref="K43:K44"/>
    <mergeCell ref="A41:A42"/>
    <mergeCell ref="B41:B42"/>
    <mergeCell ref="C41:C42"/>
    <mergeCell ref="J41:J42"/>
    <mergeCell ref="K41:K42"/>
    <mergeCell ref="I41:I42"/>
    <mergeCell ref="I43:I44"/>
    <mergeCell ref="A47:A48"/>
    <mergeCell ref="B47:B48"/>
    <mergeCell ref="C47:C48"/>
    <mergeCell ref="J47:J48"/>
    <mergeCell ref="K47:K48"/>
    <mergeCell ref="A45:A46"/>
    <mergeCell ref="B45:B46"/>
    <mergeCell ref="C45:C46"/>
    <mergeCell ref="J45:J46"/>
    <mergeCell ref="K45:K46"/>
    <mergeCell ref="I45:I46"/>
    <mergeCell ref="I47:I48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73:I74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</mergeCells>
  <phoneticPr fontId="1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R82"/>
  <sheetViews>
    <sheetView zoomScale="40" zoomScaleNormal="40" workbookViewId="0">
      <selection activeCell="A3" sqref="A3:R3"/>
    </sheetView>
  </sheetViews>
  <sheetFormatPr defaultColWidth="9.125" defaultRowHeight="27.75"/>
  <cols>
    <col min="1" max="1" width="7.5" style="16" customWidth="1"/>
    <col min="2" max="2" width="5.5" style="17" customWidth="1"/>
    <col min="3" max="3" width="11.375" style="17" customWidth="1"/>
    <col min="4" max="4" width="43.125" style="17" customWidth="1"/>
    <col min="5" max="5" width="32.5" style="17" customWidth="1"/>
    <col min="6" max="6" width="43.125" style="17" customWidth="1"/>
    <col min="7" max="8" width="35.75" style="17" customWidth="1"/>
    <col min="9" max="9" width="10.625" style="17" customWidth="1"/>
    <col min="10" max="11" width="13.5" style="24" customWidth="1"/>
    <col min="12" max="18" width="7.125" style="18" customWidth="1"/>
    <col min="19" max="19" width="9.125" style="19" customWidth="1"/>
    <col min="20" max="21" width="9.125" style="19"/>
    <col min="22" max="22" width="9.625" style="19" bestFit="1" customWidth="1"/>
    <col min="23" max="23" width="9.125" style="19"/>
    <col min="24" max="24" width="9.625" style="19" bestFit="1" customWidth="1"/>
    <col min="25" max="16384" width="9.125" style="19"/>
  </cols>
  <sheetData>
    <row r="1" spans="1:18" ht="55.5" customHeight="1"/>
    <row r="2" spans="1:18" s="20" customFormat="1" ht="53.65" customHeight="1">
      <c r="A2" s="484" t="str">
        <f>菜單總表!A2</f>
        <v>基隆市安樂高中、長樂安樂港西國小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</row>
    <row r="3" spans="1:18" s="20" customFormat="1" ht="49.15" customHeight="1" thickBot="1">
      <c r="A3" s="494" t="str">
        <f>菜單總表!A3</f>
        <v>113 年 6 月 份 午 餐 食 譜 （葷）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</row>
    <row r="4" spans="1:18" ht="192.4" customHeight="1">
      <c r="A4" s="75" t="s">
        <v>31</v>
      </c>
      <c r="B4" s="76" t="s">
        <v>32</v>
      </c>
      <c r="C4" s="77" t="s">
        <v>33</v>
      </c>
      <c r="D4" s="77" t="s">
        <v>40</v>
      </c>
      <c r="E4" s="77" t="s">
        <v>41</v>
      </c>
      <c r="F4" s="77" t="s">
        <v>67</v>
      </c>
      <c r="G4" s="77" t="s">
        <v>68</v>
      </c>
      <c r="H4" s="77" t="s">
        <v>80</v>
      </c>
      <c r="I4" s="77" t="s">
        <v>34</v>
      </c>
      <c r="J4" s="92" t="s">
        <v>65</v>
      </c>
      <c r="K4" s="92" t="s">
        <v>35</v>
      </c>
      <c r="L4" s="78" t="s">
        <v>45</v>
      </c>
      <c r="M4" s="85" t="s">
        <v>46</v>
      </c>
      <c r="N4" s="79" t="s">
        <v>28</v>
      </c>
      <c r="O4" s="79" t="s">
        <v>30</v>
      </c>
      <c r="P4" s="79" t="s">
        <v>29</v>
      </c>
      <c r="Q4" s="79" t="s">
        <v>66</v>
      </c>
      <c r="R4" s="80" t="s">
        <v>36</v>
      </c>
    </row>
    <row r="5" spans="1:18" ht="49.9" customHeight="1">
      <c r="A5" s="475">
        <f>IF(第一週!$G$2=0,"",第一週!$G$2)</f>
        <v>45446</v>
      </c>
      <c r="B5" s="477" t="s">
        <v>22</v>
      </c>
      <c r="C5" s="479" t="str">
        <f>IF(第一週!$G$4=0,"",第一週!$G$4)</f>
        <v>白飯</v>
      </c>
      <c r="D5" s="81" t="str">
        <f>IF(第一週!$G$34=0,"",第一週!$G$34)</f>
        <v>香菇肉燥</v>
      </c>
      <c r="E5" s="81" t="str">
        <f>IF(第一週!$G$49=0,"",第一週!$G$49)</f>
        <v/>
      </c>
      <c r="F5" s="82" t="str">
        <f>IF(第一週!$G$94=0,"",第一週!$G$94)</f>
        <v>關東煮</v>
      </c>
      <c r="G5" s="82" t="str">
        <f>IF(第一週!$G$109=0,"",第一週!$G$109)</f>
        <v>燴大瓜</v>
      </c>
      <c r="H5" s="82" t="str">
        <f>IF(第一週!$G$199=0,"",第一週!$G$199)</f>
        <v>肉骨茶湯</v>
      </c>
      <c r="I5" s="473" t="str">
        <f>IF(第一週!$G$184=0,"",第一週!$G$184)</f>
        <v>清炒時蔬</v>
      </c>
      <c r="J5" s="481" t="str">
        <f>IF(第一週!$G$214=0,"",第一週!$G$214)</f>
        <v>果汁</v>
      </c>
      <c r="K5" s="481" t="str">
        <f>IF(第一週!$G$234=0,"",第一週!$G$234)</f>
        <v/>
      </c>
      <c r="L5" s="488">
        <f>IFERROR(SUMPRODUCT(第一週!$J$4:$J$259,第一週!$AN$4:$AN$259)/第一週!$J$2,"")</f>
        <v>0</v>
      </c>
      <c r="M5" s="488" t="str">
        <f>IF(菜單總表!M5&lt;2.1,"2.0",菜單總表!M5)</f>
        <v>2.0</v>
      </c>
      <c r="N5" s="488">
        <f>IFERROR(SUMPRODUCT(第一週!$J$4:$J$259,第一週!$AP$4:$AP$259)/第一週!$J$2,"")</f>
        <v>0</v>
      </c>
      <c r="O5" s="488">
        <f>IFERROR(SUMPRODUCT(第一週!$J$4:$J$259,第一週!$AQ$4:$AQ$259)/第一週!$J$2+2.3,"")</f>
        <v>2.2999999999999998</v>
      </c>
      <c r="P5" s="488">
        <f>IFERROR(SUMPRODUCT(第一週!$J$4:$J$259,第一週!$AR$4:$AR$259)/第一週!$J$2,"")</f>
        <v>0</v>
      </c>
      <c r="Q5" s="488">
        <f>IFERROR(SUMPRODUCT(第一週!$J$4:$J$259,第一週!$AS$4:$AS$259)/第一週!$J$2,"")</f>
        <v>0</v>
      </c>
      <c r="R5" s="490">
        <f>IFERROR(L5*70+M5*75+N5*25+O5*45+P5*60+Q5*150,"")</f>
        <v>253.5</v>
      </c>
    </row>
    <row r="6" spans="1:18" s="22" customFormat="1" ht="25.15" customHeight="1">
      <c r="A6" s="476"/>
      <c r="B6" s="478"/>
      <c r="C6" s="480"/>
      <c r="D6" s="21" t="str">
        <f>_xlfn.CONCAT(IF(IFERROR(FIND("素-",第一週!$H$34),0)=1,"",第一週!$H$34),IF(OR(第一週!$H$35=0,IFERROR(FIND("素-",第一週!$H$35),0)=1),"",","),IF(IFERROR(FIND("素-",第一週!$H$35),0)=1,"",第一週!$H$35),IF(OR(第一週!$H$36=0,IFERROR(FIND("素-",第一週!$H$36),0)=1),"",","),IF(IFERROR(FIND("素-",第一週!$H$36),0)=1,"",第一週!$H$36),IF(OR(第一週!$H$37=0,IFERROR(FIND("素-",第一週!$H$37),0)=1),"",","),IF(IFERROR(FIND("素-",第一週!$H$37),0)=1,"",第一週!$H$37),IF(OR(第一週!$H$38=0,IFERROR(FIND("素-",第一週!$H$38),0)=1),"",","),IF(IFERROR(FIND("素-",第一週!$H$38),0)=1,"",第一週!$H$38),IF(OR(第一週!$H$39=0,IFERROR(FIND("素-",第一週!$H$39),0)=1),"",","),IF(IFERROR(FIND("素-",第一週!$H$39),0)=1,"",第一週!$H$39),IF(OR(第一週!$H$40=0,IFERROR(FIND("素-",第一週!$H$40),0)=1),"",","),IF(IFERROR(FIND("素-",第一週!$H$40),0)=1,"",第一週!$H$40),IF(OR(第一週!$H$41=0,IFERROR(FIND("素-",第一週!$H$41),0)=1),"",","),IF(IFERROR(FIND("素-",第一週!$H$41),0)=1,"",第一週!$H$41),IF(OR(第一週!$H$42=0,IFERROR(FIND("素-",第一週!$H$42),0)=1),"",","),IF(IFERROR(FIND("素-",第一週!$H$42),0)=1,"",第一週!$H$42))</f>
        <v>豬絞肉,乾香菇,碎花瓜,大蒜</v>
      </c>
      <c r="E6" s="21" t="str">
        <f>_xlfn.CONCAT(IF(IFERROR(FIND("素-",第一週!$H$49),0)=1,"",第一週!$H$49),IF(OR(第一週!$H$50=0,IFERROR(FIND("素-",第一週!$H$50),0)=1),"",","),IF(IFERROR(FIND("素-",第一週!$H$50),0)=1,"",第一週!$H$50),IF(OR(第一週!$H$51=0,IFERROR(FIND("素-",第一週!$H$51),0)=1),"",","),IF(IFERROR(FIND("素-",第一週!$H$51),0)=1,"",第一週!$H$51),IF(OR(第一週!$H$52=0,IFERROR(FIND("素-",第一週!$H$52),0)=1),"",","),IF(IFERROR(FIND("素-",第一週!$H$52),0)=1,"",第一週!$H$52),IF(OR(第一週!$H$53=0,IFERROR(FIND("素-",第一週!$H$53),0)=1),"",","),IF(IFERROR(FIND("素-",第一週!$H$53),0)=1,"",第一週!$H$53),IF(OR(第一週!$H$54=0,IFERROR(FIND("素-",第一週!$H$54),0)=1),"",","),IF(IFERROR(FIND("素-",第一週!$H$54),0)=1,"",第一週!$H$54),IF(OR(第一週!$H$55=0,IFERROR(FIND("素-",第一週!$H$55),0)=1),"",","),IF(IFERROR(FIND("素-",第一週!$H$55),0)=1,"",第一週!$H$55))</f>
        <v>安小6/3~6/4：601班校外教學停餐兩天。(-24)
港西學生共減7位：三忠(1)、四忠(4)、五忠(2)</v>
      </c>
      <c r="F6" s="21" t="str">
        <f>_xlfn.CONCAT(IF(IFERROR(FIND("素-",第一週!$H$94),0)=1,"",第一週!$H$94),IF(OR(第一週!$H$95=0,IFERROR(FIND("素-",第一週!$H$95),0)=1),"",","),IF(IFERROR(FIND("素-",第一週!$H$95),0)=1,"",第一週!$H$95),IF(OR(第一週!$H$96=0,IFERROR(FIND("素-",第一週!$H$96),0)=1),"",","),IF(IFERROR(FIND("素-",第一週!$H$96),0)=1,"",第一週!$H$96),IF(OR(第一週!$H$97=0,IFERROR(FIND("素-",第一週!$H$97),0)=1),"",","),IF(IFERROR(FIND("素-",第一週!$H$97),0)=1,"",第一週!$H$97),IF(OR(第一週!$H$98=0,IFERROR(FIND("素-",第一週!$H$98),0)=1),"",","),IF(IFERROR(FIND("素-",第一週!$H$98),0)=1,"",第一週!$H$98),IF(OR(第一週!$H$99=0,IFERROR(FIND("素-",第一週!$H$99),0)=1),"",","),IF(IFERROR(FIND("素-",第一週!$H$99),0)=1,"",第一週!$H$99),IF(OR(第一週!$H$100=0,IFERROR(FIND("素-",第一週!$H$100),0)=1),"",","),IF(IFERROR(FIND("素-",第一週!$H$100),0)=1,"",第一週!$H$100))</f>
        <v>冷凍玉米塊,白蘿蔔,油豆腐,蒟蒻捲,海山醬</v>
      </c>
      <c r="G6" s="21" t="str">
        <f>_xlfn.CONCAT(IF(IFERROR(FIND("素-",第一週!$H$109),0)=1,"",第一週!$H$109),IF(OR(第一週!$H$110=0,IFERROR(FIND("素-",第一週!$H$110),0)=1),"",","),IF(IFERROR(FIND("素-",第一週!$H$110),0)=1,"",第一週!$H$110),IF(OR(第一週!$H$111=0,IFERROR(FIND("素-",第一週!$H$111),0)=1),"",","),IF(IFERROR(FIND("素-",第一週!$H$111),0)=1,"",第一週!$H$111),IF(OR(第一週!$H$112=0,IFERROR(FIND("素-",第一週!$H$112),0)=1),"",","),IF(IFERROR(FIND("素-",第一週!$H$112),0)=1,"",第一週!$H$112),IF(OR(第一週!$H$113=0,IFERROR(FIND("素-",第一週!$H$113),0)=1),"",","),IF(IFERROR(FIND("素-",第一週!$H$113),0)=1,"",第一週!$H$113),IF(OR(第一週!$H$114=0,IFERROR(FIND("素-",第一週!$H$114),0)=1),"",","),IF(IFERROR(FIND("素-",第一週!$H$114),0)=1,"",第一週!$H$114),IF(OR(第一週!$H$115=0,IFERROR(FIND("素-",第一週!$H$115),0)=1),"",","),IF(IFERROR(FIND("素-",第一週!$H$115),0)=1,"",第一週!$H$115))</f>
        <v>大黃瓜,冷凍玉米粒,木耳</v>
      </c>
      <c r="H6" s="21" t="str">
        <f>_xlfn.CONCAT(IF(IFERROR(FIND("素-",第一週!$H$199),0)=1,"",第一週!$H$199),IF(OR(第一週!$H$200=0,IFERROR(FIND("素-",第一週!$H$200),0)=1),"",","),IF(IFERROR(FIND("素-",第一週!$H$200),0)=1,"",第一週!$H$200),IF(OR(第一週!$H$201=0,IFERROR(FIND("素-",第一週!$H$201),0)=1),"",","),IF(IFERROR(FIND("素-",第一週!$H$201),0)=1,"",第一週!$H$201),IF(OR(第一週!$H$202=0,IFERROR(FIND("素-",第一週!$H$202),0)=1),"",","),IF(IFERROR(FIND("素-",第一週!$H$202),0)=1,"",第一週!$H$202),IF(OR(第一週!$H$203=0,IFERROR(FIND("素-",第一週!$H$203),0)=1),"",","),IF(IFERROR(FIND("素-",第一週!$H$203),0)=1,"",第一週!$H$203),IF(OR(第一週!$H$204=0,IFERROR(FIND("素-",第一週!$H$204),0)=1),"",","),IF(IFERROR(FIND("素-",第一週!$H$204),0)=1,"",第一週!$H$204),IF(OR(第一週!$H$205=0,IFERROR(FIND("素-",第一週!$H$205),0)=1),"",","),IF(IFERROR(FIND("素-",第一週!$H$205),0)=1,"",第一週!$H$205),IF(OR(第一週!$H$206=0,IFERROR(FIND("素-",第一週!$H$206),0)=1),"",","),IF(IFERROR(FIND("素-",第一週!$H$206),0)=1,"",第一週!$H$206))</f>
        <v>高麗菜,肉骨茶包,枸杞,豬前腿肉</v>
      </c>
      <c r="I6" s="474"/>
      <c r="J6" s="482"/>
      <c r="K6" s="482"/>
      <c r="L6" s="489"/>
      <c r="M6" s="489"/>
      <c r="N6" s="489"/>
      <c r="O6" s="489"/>
      <c r="P6" s="489"/>
      <c r="Q6" s="489"/>
      <c r="R6" s="491"/>
    </row>
    <row r="7" spans="1:18" ht="49.9" customHeight="1">
      <c r="A7" s="475">
        <f>IF(第一週!$L$2=0,"",第一週!$L$2)</f>
        <v>45447</v>
      </c>
      <c r="B7" s="477" t="s">
        <v>23</v>
      </c>
      <c r="C7" s="479" t="str">
        <f>IF(第一週!$L$4=0,"",第一週!$L$4)</f>
        <v>白飯</v>
      </c>
      <c r="D7" s="81" t="str">
        <f>IF(第一週!$L$34=0,"",第一週!$L$34)</f>
        <v>筍香悶肉</v>
      </c>
      <c r="E7" s="81" t="str">
        <f>IF(第一週!$L$49=0,"",第一週!$L$49)</f>
        <v/>
      </c>
      <c r="F7" s="82" t="str">
        <f>IF(第一週!$L$94=0,"",第一週!$L$94)</f>
        <v>培根高麗菜</v>
      </c>
      <c r="G7" s="82" t="str">
        <f>IF(第一週!$L$109=0,"",第一週!$L$109)</f>
        <v>海結麵輪</v>
      </c>
      <c r="H7" s="82" t="str">
        <f>IF(第一週!$L$199=0,"",第一週!$L$199)</f>
        <v>味噌湯</v>
      </c>
      <c r="I7" s="473" t="str">
        <f>IF(第一週!$L$184=0,"",第一週!$L$184)</f>
        <v>清炒時蔬</v>
      </c>
      <c r="J7" s="481" t="str">
        <f>IF(第一週!$L$214=0,"",第一週!$L$214)</f>
        <v>牛奶</v>
      </c>
      <c r="K7" s="481" t="str">
        <f>IF(第一週!$L$234=0,"",第一週!$L$234)</f>
        <v/>
      </c>
      <c r="L7" s="488">
        <f>IFERROR(SUMPRODUCT(第一週!$O$4:$O$259,第一週!$AV$4:$AV$259)/第一週!$O$2,"")</f>
        <v>0</v>
      </c>
      <c r="M7" s="488" t="str">
        <f>IF(菜單總表!M7&lt;2.1,"2.0",菜單總表!M7)</f>
        <v>2.0</v>
      </c>
      <c r="N7" s="488">
        <f>IFERROR(SUMPRODUCT(第一週!$O$4:$O$259,第一週!$AX$4:$AX$259)/第一週!$O$2,"")</f>
        <v>0</v>
      </c>
      <c r="O7" s="488">
        <f>IFERROR(SUMPRODUCT(第一週!$O$4:$O$259,第一週!$AY$4:$AY$259)/第一週!$O$2+2.3,"")</f>
        <v>2.2999999999999998</v>
      </c>
      <c r="P7" s="488">
        <f>IFERROR(SUMPRODUCT(第一週!$O$4:$O$259,第一週!$AZ$4:$AZ$259)/第一週!$O$2,"")</f>
        <v>0</v>
      </c>
      <c r="Q7" s="488">
        <f>IFERROR(SUMPRODUCT(第一週!$O$4:$O$259,第一週!$BA$4:$BA$259)/第一週!$O$2,"")</f>
        <v>0</v>
      </c>
      <c r="R7" s="490">
        <f>IFERROR(L7*70+M7*75+N7*25+O7*45+P7*60+Q7*150,"")</f>
        <v>253.5</v>
      </c>
    </row>
    <row r="8" spans="1:18" s="22" customFormat="1" ht="25.15" customHeight="1">
      <c r="A8" s="476"/>
      <c r="B8" s="478"/>
      <c r="C8" s="480"/>
      <c r="D8" s="21" t="str">
        <f>_xlfn.CONCAT(IF(IFERROR(FIND("素-",第一週!$M$34),0)=1,"",第一週!$M$34),IF(OR(第一週!$M$35=0,IFERROR(FIND("素-",第一週!$M$35),0)=1),"",","),IF(IFERROR(FIND("素-",第一週!$M$35),0)=1,"",第一週!$M$35),IF(OR(第一週!$M$36=0,IFERROR(FIND("素-",第一週!$M$36),0)=1),"",","),IF(IFERROR(FIND("素-",第一週!$M$36),0)=1,"",第一週!$M$36),IF(OR(第一週!$M$37=0,IFERROR(FIND("素-",第一週!$M$37),0)=1),"",","),IF(IFERROR(FIND("素-",第一週!$M$37),0)=1,"",第一週!$M$37),IF(OR(第一週!$M$38=0,IFERROR(FIND("素-",第一週!$M$38),0)=1),"",","),IF(IFERROR(FIND("素-",第一週!$M$38),0)=1,"",第一週!$M$38),IF(OR(第一週!$M$39=0,IFERROR(FIND("素-",第一週!$M$39),0)=1),"",","),IF(IFERROR(FIND("素-",第一週!$M$39),0)=1,"",第一週!$M$39),IF(OR(第一週!$M$40=0,IFERROR(FIND("素-",第一週!$M$40),0)=1),"",","),IF(IFERROR(FIND("素-",第一週!$M$40),0)=1,"",第一週!$M$40),IF(OR(第一週!$M$41=0,IFERROR(FIND("素-",第一週!$M$41),0)=1),"",","),IF(IFERROR(FIND("素-",第一週!$M$41),0)=1,"",第一週!$M$41),IF(OR(第一週!$M$42=0,IFERROR(FIND("素-",第一週!$M$42),0)=1),"",","),IF(IFERROR(FIND("素-",第一週!$M$42),0)=1,"",第一週!$M$42))</f>
        <v>豬前腿肉,筍干,胡蘿蔔,蒜仁,蔥</v>
      </c>
      <c r="E8" s="21" t="str">
        <f>_xlfn.CONCAT(IF(IFERROR(FIND("素-",第一週!$M$49),0)=1,"",第一週!$M$49),IF(OR(第一週!$M$50=0,IFERROR(FIND("素-",第一週!$M$50),0)=1),"",","),IF(IFERROR(FIND("素-",第一週!$M$50),0)=1,"",第一週!$M$50),IF(OR(第一週!$M$51=0,IFERROR(FIND("素-",第一週!$M$51),0)=1),"",","),IF(IFERROR(FIND("素-",第一週!$M$51),0)=1,"",第一週!$M$51),IF(OR(第一週!$M$52=0,IFERROR(FIND("素-",第一週!$M$52),0)=1),"",","),IF(IFERROR(FIND("素-",第一週!$M$52),0)=1,"",第一週!$M$52),IF(OR(第一週!$M$53=0,IFERROR(FIND("素-",第一週!$M$53),0)=1),"",","),IF(IFERROR(FIND("素-",第一週!$M$53),0)=1,"",第一週!$M$53),IF(OR(第一週!$M$54=0,IFERROR(FIND("素-",第一週!$M$54),0)=1),"",","),IF(IFERROR(FIND("素-",第一週!$M$54),0)=1,"",第一週!$M$54),IF(OR(第一週!$M$55=0,IFERROR(FIND("素-",第一週!$M$55),0)=1),"",","),IF(IFERROR(FIND("素-",第一週!$M$55),0)=1,"",第一週!$M$55))</f>
        <v>安小6/3~6/4：601班校外教學停餐兩天。(-24)
港西6/4(二)學生共減12位：二忠（減1）、三忠(減1)、四忠(減4)、五忠(減6)</v>
      </c>
      <c r="F8" s="21" t="e">
        <f>_xlfn.CONCAT(IF(IFERROR(FIND("素-",第一週!$M$94),0)=1,"",第一週!$M$94),IF(OR(第一週!#REF!=0,IFERROR(FIND("素-",第一週!#REF!),0)=1),"",","),IF(IFERROR(FIND("素-",第一週!#REF!),0)=1,"",第一週!#REF!),IF(OR(第一週!$M$96=0,IFERROR(FIND("素-",第一週!$M$96),0)=1),"",","),IF(IFERROR(FIND("素-",第一週!$M$96),0)=1,"",第一週!$M$96),IF(OR(第一週!$M$95=0,IFERROR(FIND("素-",第一週!$M$95),0)=1),"",","),IF(IFERROR(FIND("素-",第一週!$M$95),0)=1,"",第一週!$M$95),IF(OR(第一週!$M$98=0,IFERROR(FIND("素-",第一週!$M$98),0)=1),"",","),IF(IFERROR(FIND("素-",第一週!$M$98),0)=1,"",第一週!$M$98),IF(OR(第一週!$M$99=0,IFERROR(FIND("素-",第一週!$M$99),0)=1),"",","),IF(IFERROR(FIND("素-",第一週!$M$99),0)=1,"",第一週!$M$99),IF(OR(第一週!$M$100=0,IFERROR(FIND("素-",第一週!$M$100),0)=1),"",","),IF(IFERROR(FIND("素-",第一週!$M$100),0)=1,"",第一週!$M$100))</f>
        <v>#REF!</v>
      </c>
      <c r="G8" s="21" t="str">
        <f>_xlfn.CONCAT(IF(IFERROR(FIND("素-",第一週!$M$109),0)=1,"",第一週!$M$109),IF(OR(第一週!$M$110=0,IFERROR(FIND("素-",第一週!$M$110),0)=1),"",","),IF(IFERROR(FIND("素-",第一週!$M$110),0)=1,"",第一週!$M$110),IF(OR(第一週!$M$111=0,IFERROR(FIND("素-",第一週!$M$111),0)=1),"",","),IF(IFERROR(FIND("素-",第一週!$M$111),0)=1,"",第一週!$M$111),IF(OR(第一週!$M$112=0,IFERROR(FIND("素-",第一週!$M$112),0)=1),"",","),IF(IFERROR(FIND("素-",第一週!$M$112),0)=1,"",第一週!$M$112),IF(OR(第一週!$M$113=0,IFERROR(FIND("素-",第一週!$M$113),0)=1),"",","),IF(IFERROR(FIND("素-",第一週!$M$113),0)=1,"",第一週!$M$113),IF(OR(第一週!$M$114=0,IFERROR(FIND("素-",第一週!$M$114),0)=1),"",","),IF(IFERROR(FIND("素-",第一週!$M$114),0)=1,"",第一週!$M$114),IF(OR(第一週!$M$115=0,IFERROR(FIND("素-",第一週!$M$115),0)=1),"",","),IF(IFERROR(FIND("素-",第一週!$M$115),0)=1,"",第一週!$M$115))</f>
        <v>海帶結,乾麵輪,白蘿蔔</v>
      </c>
      <c r="H8" s="21" t="e">
        <f>_xlfn.CONCAT(IF(IFERROR(FIND("素-",第一週!$M$199),0)=1,"",第一週!$M$199),IF(OR(第一週!$M$200=0,IFERROR(FIND("素-",第一週!$M$200),0)=1),"",","),IF(IFERROR(FIND("素-",第一週!$M$200),0)=1,"",第一週!$M$200),IF(OR(第一週!#REF!=0,IFERROR(FIND("素-",第一週!#REF!),0)=1),"",","),IF(IFERROR(FIND("素-",第一週!#REF!),0)=1,"",第一週!#REF!),IF(OR(第一週!$M$201=0,IFERROR(FIND("素-",第一週!$M$201),0)=1),"",","),IF(IFERROR(FIND("素-",第一週!$M$201),0)=1,"",第一週!$M$201),IF(OR(第一週!$M$203=0,IFERROR(FIND("素-",第一週!$M$203),0)=1),"",","),IF(IFERROR(FIND("素-",第一週!$M$203),0)=1,"",第一週!$M$203),IF(OR(第一週!$M$204=0,IFERROR(FIND("素-",第一週!$M$204),0)=1),"",","),IF(IFERROR(FIND("素-",第一週!$M$204),0)=1,"",第一週!$M$204),IF(OR(第一週!$M$205=0,IFERROR(FIND("素-",第一週!$M$205),0)=1),"",","),IF(IFERROR(FIND("素-",第一週!$M$205),0)=1,"",第一週!$M$205),IF(OR(第一週!$M$206=0,IFERROR(FIND("素-",第一週!$M$206),0)=1),"",","),IF(IFERROR(FIND("素-",第一週!$M$206),0)=1,"",第一週!$M$206))</f>
        <v>#REF!</v>
      </c>
      <c r="I8" s="474"/>
      <c r="J8" s="482"/>
      <c r="K8" s="482"/>
      <c r="L8" s="489"/>
      <c r="M8" s="489"/>
      <c r="N8" s="489"/>
      <c r="O8" s="489"/>
      <c r="P8" s="489"/>
      <c r="Q8" s="489"/>
      <c r="R8" s="491"/>
    </row>
    <row r="9" spans="1:18" ht="49.9" customHeight="1">
      <c r="A9" s="475">
        <f>IF(第一週!$Q$2=0,"",第一週!$Q$2)</f>
        <v>45448</v>
      </c>
      <c r="B9" s="477" t="s">
        <v>24</v>
      </c>
      <c r="C9" s="479" t="str">
        <f>IF(第一週!$Q$4=0,"",第一週!$Q$4)</f>
        <v>黃油麵</v>
      </c>
      <c r="D9" s="81" t="str">
        <f>IF(第一週!$Q$34=0,"",第一週!$Q$34)</f>
        <v>玉米肉絲炒麵</v>
      </c>
      <c r="E9" s="81" t="str">
        <f>IF(第一週!$Q$49=0,"",第一週!$Q$49)</f>
        <v>鮮肉包</v>
      </c>
      <c r="F9" s="82" t="str">
        <f>IF(第一週!$Q$94=0,"",第一週!$Q$94)</f>
        <v/>
      </c>
      <c r="G9" s="82" t="str">
        <f>IF(第一週!$Q$109=0,"",第一週!$Q$109)</f>
        <v>開陽冬瓜</v>
      </c>
      <c r="H9" s="82" t="str">
        <f>IF(第一週!$Q$199=0,"",第一週!$Q$199)</f>
        <v>金菇蛋花湯</v>
      </c>
      <c r="I9" s="473" t="str">
        <f>IF(第一週!$Q$184=0,"",第一週!$Q$184)</f>
        <v>清炒時蔬</v>
      </c>
      <c r="J9" s="481" t="str">
        <f>IF(第一週!$Q$214=0,"",第一週!$Q$214)</f>
        <v>水果</v>
      </c>
      <c r="K9" s="481" t="str">
        <f>IF(第一週!$Q$234=0,"",第一週!$Q$234)</f>
        <v/>
      </c>
      <c r="L9" s="488">
        <f>_xlfn.IFS(菜單總表!L9&lt;4.5,4.5,5.5&lt;菜單總表!L9,5.5,AND(4.5&lt;菜單總表!L9,菜單總表!L9&lt;5.7),菜單總表!L9)</f>
        <v>4.5</v>
      </c>
      <c r="M9" s="488">
        <f>_xlfn.IFS(菜單總表!M9&lt;2.1,2,2.7&lt;菜單總表!M9,2.7,AND(2.1&lt;菜單總表!M9,菜單總表!M9&lt;2.7),菜單總表!M9)</f>
        <v>2</v>
      </c>
      <c r="N9" s="488">
        <f>IF(菜單總表!N9&lt;1.5,1.5+菜單總表!N9/30,菜單總表!N9)</f>
        <v>1.5</v>
      </c>
      <c r="O9" s="488">
        <f>菜單總表!O9</f>
        <v>2.2999999999999998</v>
      </c>
      <c r="P9" s="488">
        <f>IFERROR(SUMPRODUCT(第一週!$T$4:$T$259,第一週!$BH$4:$BH$259)/第一週!$T$2,"")</f>
        <v>0</v>
      </c>
      <c r="Q9" s="488">
        <f>IFERROR(SUMPRODUCT(第一週!$T$4:$T$259,第一週!$BI$4:$BI$259)/第一週!$T$2,"")</f>
        <v>0</v>
      </c>
      <c r="R9" s="490">
        <f>IFERROR(L9*70+M9*75+N9*25+O9*45+P9*60+Q9*150,"")</f>
        <v>606</v>
      </c>
    </row>
    <row r="10" spans="1:18" s="22" customFormat="1" ht="25.15" customHeight="1">
      <c r="A10" s="476"/>
      <c r="B10" s="478"/>
      <c r="C10" s="480"/>
      <c r="D10" s="21" t="str">
        <f>_xlfn.CONCAT(IF(IFERROR(FIND("素-",第一週!$R$34),0)=1,"",第一週!$R$34),IF(OR(第一週!$R$35=0,IFERROR(FIND("素-",第一週!$R$35),0)=1),"",","),IF(IFERROR(FIND("素-",第一週!$R$35),0)=1,"",第一週!$R$35),IF(OR(第一週!$R$36=0,IFERROR(FIND("素-",第一週!$R$36),0)=1),"",","),IF(IFERROR(FIND("素-",第一週!$R$36),0)=1,"",第一週!$R$36),IF(OR(第一週!$R$37=0,IFERROR(FIND("素-",第一週!$R$37),0)=1),"",","),IF(IFERROR(FIND("素-",第一週!$R$37),0)=1,"",第一週!$R$37),IF(OR(第一週!$R$38=0,IFERROR(FIND("素-",第一週!$R$38),0)=1),"",","),IF(IFERROR(FIND("素-",第一週!$R$38),0)=1,"",第一週!$R$38),IF(OR(第一週!$R$39=0,IFERROR(FIND("素-",第一週!$R$39),0)=1),"",","),IF(IFERROR(FIND("素-",第一週!$R$39),0)=1,"",第一週!$R$39),IF(OR(第一週!$R$40=0,IFERROR(FIND("素-",第一週!$R$40),0)=1),"",","),IF(IFERROR(FIND("素-",第一週!$R$40),0)=1,"",第一週!$R$40),IF(OR(第一週!$R$41=0,IFERROR(FIND("素-",第一週!$R$41),0)=1),"",","),IF(IFERROR(FIND("素-",第一週!$R$41),0)=1,"",第一週!$R$41),IF(OR(第一週!$R$42=0,IFERROR(FIND("素-",第一週!$R$42),0)=1),"",","),IF(IFERROR(FIND("素-",第一週!$R$42),0)=1,"",第一週!$R$42))</f>
        <v>冷凍玉米粒,豬前腿肉,雞蛋,洋蔥,高麗菜,青蔥</v>
      </c>
      <c r="E10" s="21" t="str">
        <f>_xlfn.CONCAT(IF(IFERROR(FIND("素-",第一週!$R$49),0)=1,"",第一週!$R$49),IF(OR(第一週!$R$50=0,IFERROR(FIND("素-",第一週!$R$50),0)=1),"",","),IF(IFERROR(FIND("素-",第一週!$R$50),0)=1,"",第一週!$R$50),IF(OR(第一週!$R$51=0,IFERROR(FIND("素-",第一週!$R$51),0)=1),"",","),IF(IFERROR(FIND("素-",第一週!$R$51),0)=1,"",第一週!$R$51),IF(OR(第一週!$R$52=0,IFERROR(FIND("素-",第一週!$R$52),0)=1),"",","),IF(IFERROR(FIND("素-",第一週!$R$52),0)=1,"",第一週!$R$52),IF(OR(第一週!$R$53=0,IFERROR(FIND("素-",第一週!$R$53),0)=1),"",","),IF(IFERROR(FIND("素-",第一週!$R$53),0)=1,"",第一週!$R$53),IF(OR(第一週!$R$54=0,IFERROR(FIND("素-",第一週!$R$54),0)=1),"",","),IF(IFERROR(FIND("素-",第一週!$R$54),0)=1,"",第一週!$R$54),IF(OR(第一週!$R$55=0,IFERROR(FIND("素-",第一週!$R$55),0)=1),"",","),IF(IFERROR(FIND("素-",第一週!$R$55),0)=1,"",第一週!$R$55))</f>
        <v>鮮肉包</v>
      </c>
      <c r="F10" s="21" t="str">
        <f>_xlfn.CONCAT(IF(IFERROR(FIND("素-",第一週!$R$94),0)=1,"",第一週!$R$94),IF(OR(第一週!$R$95=0,IFERROR(FIND("素-",第一週!$R$95),0)=1),"",","),IF(IFERROR(FIND("素-",第一週!$R$95),0)=1,"",第一週!$R$95),IF(OR(第一週!$R$96=0,IFERROR(FIND("素-",第一週!$R$96),0)=1),"",","),IF(IFERROR(FIND("素-",第一週!$R$96),0)=1,"",第一週!$R$96),IF(OR(第一週!$R$97=0,IFERROR(FIND("素-",第一週!$R$97),0)=1),"",","),IF(IFERROR(FIND("素-",第一週!$R$97),0)=1,"",第一週!$R$97),IF(OR(第一週!$R$98=0,IFERROR(FIND("素-",第一週!$R$98),0)=1),"",","),IF(IFERROR(FIND("素-",第一週!$R$98),0)=1,"",第一週!$R$98),IF(OR(第一週!$R$99=0,IFERROR(FIND("素-",第一週!$R$99),0)=1),"",","),IF(IFERROR(FIND("素-",第一週!$R$99),0)=1,"",第一週!$R$99),IF(OR(第一週!$R$100=0,IFERROR(FIND("素-",第一週!$R$100),0)=1),"",","),IF(IFERROR(FIND("素-",第一週!$R$100),0)=1,"",第一週!$R$100))</f>
        <v/>
      </c>
      <c r="G10" s="21" t="str">
        <f>_xlfn.CONCAT(IF(IFERROR(FIND("素-",第一週!$R$109),0)=1,"",第一週!$R$109),IF(OR(第一週!$R$110=0,IFERROR(FIND("素-",第一週!$R$110),0)=1),"",","),IF(IFERROR(FIND("素-",第一週!$R$110),0)=1,"",第一週!$R$110),IF(OR(第一週!$R$111=0,IFERROR(FIND("素-",第一週!$R$111),0)=1),"",","),IF(IFERROR(FIND("素-",第一週!$R$111),0)=1,"",第一週!$R$111),IF(OR(第一週!$R$112=0,IFERROR(FIND("素-",第一週!$R$112),0)=1),"",","),IF(IFERROR(FIND("素-",第一週!$R$112),0)=1,"",第一週!$R$112),IF(OR(第一週!$R$113=0,IFERROR(FIND("素-",第一週!$R$113),0)=1),"",","),IF(IFERROR(FIND("素-",第一週!$R$113),0)=1,"",第一週!$R$113),IF(OR(第一週!$R$114=0,IFERROR(FIND("素-",第一週!$R$114),0)=1),"",","),IF(IFERROR(FIND("素-",第一週!$R$114),0)=1,"",第一週!$R$114),IF(OR(第一週!$R$115=0,IFERROR(FIND("素-",第一週!$R$115),0)=1),"",","),IF(IFERROR(FIND("素-",第一週!$R$115),0)=1,"",第一週!$R$115))</f>
        <v>冬瓜,蝦米,薑絲,貢丸</v>
      </c>
      <c r="H10" s="21" t="str">
        <f>_xlfn.CONCAT(IF(IFERROR(FIND("素-",第一週!$R$199),0)=1,"",第一週!$R$199),IF(OR(第一週!$R$200=0,IFERROR(FIND("素-",第一週!$R$200),0)=1),"",","),IF(IFERROR(FIND("素-",第一週!$R$200),0)=1,"",第一週!$R$200),IF(OR(第一週!$R$201=0,IFERROR(FIND("素-",第一週!$R$201),0)=1),"",","),IF(IFERROR(FIND("素-",第一週!$R$201),0)=1,"",第一週!$R$201),IF(OR(第一週!$R$202=0,IFERROR(FIND("素-",第一週!$R$202),0)=1),"",","),IF(IFERROR(FIND("素-",第一週!$R$202),0)=1,"",第一週!$R$202),IF(OR(第一週!$R$203=0,IFERROR(FIND("素-",第一週!$R$203),0)=1),"",","),IF(IFERROR(FIND("素-",第一週!$R$203),0)=1,"",第一週!$R$203),IF(OR(第一週!$R$204=0,IFERROR(FIND("素-",第一週!$R$204),0)=1),"",","),IF(IFERROR(FIND("素-",第一週!$R$204),0)=1,"",第一週!$R$204),IF(OR(第一週!$R$205=0,IFERROR(FIND("素-",第一週!$R$205),0)=1),"",","),IF(IFERROR(FIND("素-",第一週!$R$205),0)=1,"",第一週!$R$205),IF(OR(第一週!$R$206=0,IFERROR(FIND("素-",第一週!$R$206),0)=1),"",","),IF(IFERROR(FIND("素-",第一週!$R$206),0)=1,"",第一週!$R$206))</f>
        <v>金針菇,雞蛋,大骨</v>
      </c>
      <c r="I10" s="474"/>
      <c r="J10" s="482"/>
      <c r="K10" s="482"/>
      <c r="L10" s="489"/>
      <c r="M10" s="489"/>
      <c r="N10" s="489"/>
      <c r="O10" s="489"/>
      <c r="P10" s="489"/>
      <c r="Q10" s="489"/>
      <c r="R10" s="491"/>
    </row>
    <row r="11" spans="1:18" ht="49.9" customHeight="1">
      <c r="A11" s="475">
        <f>IF(第一週!$V$2=0,"",第一週!$V$2)</f>
        <v>45449</v>
      </c>
      <c r="B11" s="477" t="s">
        <v>25</v>
      </c>
      <c r="C11" s="479" t="str">
        <f>IF(第一週!$V$4=0,"",第一週!$V$4)</f>
        <v>紅藜飯</v>
      </c>
      <c r="D11" s="81" t="str">
        <f>IF(第一週!$V$34=0,"",第一週!$V$34)</f>
        <v>塔香番茄魚丁</v>
      </c>
      <c r="E11" s="81" t="str">
        <f>IF(第一週!$V$49=0,"",第一週!$V$49)</f>
        <v/>
      </c>
      <c r="F11" s="82" t="str">
        <f>IF(第一週!$V$94=0,"",第一週!$V$94)</f>
        <v>雜菜粉絲</v>
      </c>
      <c r="G11" s="82" t="str">
        <f>IF(第一週!$V$109=0,"",第一週!$V$109)</f>
        <v>滷白菜</v>
      </c>
      <c r="H11" s="82" t="str">
        <f>IF(第一週!$V$199=0,"",第一週!$V$199)</f>
        <v>蘿蔔玉米湯</v>
      </c>
      <c r="I11" s="473" t="str">
        <f>IF(第一週!$V$184=0,"",第一週!$V$184)</f>
        <v>清炒時蔬</v>
      </c>
      <c r="J11" s="481" t="str">
        <f>IF(第一週!$V$214=0,"",第一週!$V$214)</f>
        <v>牛奶</v>
      </c>
      <c r="K11" s="481" t="str">
        <f>IF(第一週!$V$234=0,"",第一週!$V$234)</f>
        <v/>
      </c>
      <c r="L11" s="488">
        <f>_xlfn.IFS(菜單總表!L11&lt;4.5,4.5,5.5&lt;菜單總表!L11,5.5,AND(4.5&lt;菜單總表!L11,菜單總表!L11&lt;5.7),菜單總表!L11)</f>
        <v>4.5</v>
      </c>
      <c r="M11" s="488">
        <f>_xlfn.IFS(菜單總表!M11&lt;2.1,2,3&lt;菜單總表!M11,3,AND(2.1&lt;菜單總表!M11,菜單總表!M11&lt;3),菜單總表!M11)</f>
        <v>2</v>
      </c>
      <c r="N11" s="488">
        <f>IF(菜單總表!N11&lt;1.5,1.5+菜單總表!N11/30,菜單總表!N11)</f>
        <v>1.5</v>
      </c>
      <c r="O11" s="488">
        <f>菜單總表!O11</f>
        <v>2.2999999999999998</v>
      </c>
      <c r="P11" s="488">
        <f>IFERROR(SUMPRODUCT(第一週!$Y$4:$Y$259,第一週!$BP$4:$BP$259)/第一週!$Y$2,"")</f>
        <v>0</v>
      </c>
      <c r="Q11" s="488">
        <f>IFERROR(SUMPRODUCT(第一週!$Y$4:$Y$259,第一週!$BQ$4:$BQ$259)/第一週!$Y$2,"")</f>
        <v>0</v>
      </c>
      <c r="R11" s="490">
        <f>IFERROR(L11*70+M11*75+N11*25+O11*45+P11*60+Q11*150,"")</f>
        <v>606</v>
      </c>
    </row>
    <row r="12" spans="1:18" s="22" customFormat="1" ht="25.15" customHeight="1">
      <c r="A12" s="476"/>
      <c r="B12" s="478"/>
      <c r="C12" s="480"/>
      <c r="D12" s="21" t="str">
        <f>_xlfn.CONCAT(IF(IFERROR(FIND("素-",第一週!$W$34),0)=1,"",第一週!$W$34),IF(OR(第一週!$W$35=0,IFERROR(FIND("素-",第一週!$W$35),0)=1),"",","),IF(IFERROR(FIND("素-",第一週!$W$35),0)=1,"",第一週!$W$35),IF(OR(第一週!$W$36=0,IFERROR(FIND("素-",第一週!$W$36),0)=1),"",","),IF(IFERROR(FIND("素-",第一週!$W$36),0)=1,"",第一週!$W$36),IF(OR(第一週!$W$37=0,IFERROR(FIND("素-",第一週!$W$37),0)=1),"",","),IF(IFERROR(FIND("素-",第一週!$W$37),0)=1,"",第一週!$W$37),IF(OR(第一週!$W$38=0,IFERROR(FIND("素-",第一週!$W$38),0)=1),"",","),IF(IFERROR(FIND("素-",第一週!$W$38),0)=1,"",第一週!$W$38),IF(OR(第一週!$W$39=0,IFERROR(FIND("素-",第一週!$W$39),0)=1),"",","),IF(IFERROR(FIND("素-",第一週!$W$39),0)=1,"",第一週!$W$39),IF(OR(第一週!$W$40=0,IFERROR(FIND("素-",第一週!$W$40),0)=1),"",","),IF(IFERROR(FIND("素-",第一週!$W$40),0)=1,"",第一週!$W$40),IF(OR(第一週!$W$41=0,IFERROR(FIND("素-",第一週!$W$41),0)=1),"",","),IF(IFERROR(FIND("素-",第一週!$W$41),0)=1,"",第一週!$W$41),IF(OR(第一週!$W$42=0,IFERROR(FIND("素-",第一週!$W$42),0)=1),"",","),IF(IFERROR(FIND("素-",第一週!$W$42),0)=1,"",第一週!$W$42))</f>
        <v>水鯊魚,凍豆腐,洋蔥,九層塔,番茄</v>
      </c>
      <c r="E12" s="21" t="str">
        <f>_xlfn.CONCAT(IF(IFERROR(FIND("素-",第一週!$W$49),0)=1,"",第一週!$W$49),IF(OR(第一週!$W$50=0,IFERROR(FIND("素-",第一週!$W$50),0)=1),"",","),IF(IFERROR(FIND("素-",第一週!$W$50),0)=1,"",第一週!$W$50),IF(OR(第一週!$W$51=0,IFERROR(FIND("素-",第一週!$W$51),0)=1),"",","),IF(IFERROR(FIND("素-",第一週!$W$51),0)=1,"",第一週!$W$51),IF(OR(第一週!$W$52=0,IFERROR(FIND("素-",第一週!$W$52),0)=1),"",","),IF(IFERROR(FIND("素-",第一週!$W$52),0)=1,"",第一週!$W$52),IF(OR(第一週!$W$53=0,IFERROR(FIND("素-",第一週!$W$53),0)=1),"",","),IF(IFERROR(FIND("素-",第一週!$W$53),0)=1,"",第一週!$W$53),IF(OR(第一週!$W$54=0,IFERROR(FIND("素-",第一週!$W$54),0)=1),"",","),IF(IFERROR(FIND("素-",第一週!$W$54),0)=1,"",第一週!$W$54),IF(OR(第一週!$W$55=0,IFERROR(FIND("素-",第一週!$W$55),0)=1),"",","),IF(IFERROR(FIND("素-",第一週!$W$55),0)=1,"",第一週!$W$55))</f>
        <v>長樂6/6 獨角仙 全班整天不用餐(-22)
安小602停餐(-24)</v>
      </c>
      <c r="F12" s="21" t="str">
        <f>_xlfn.CONCAT(IF(IFERROR(FIND("素-",第一週!$W$94),0)=1,"",第一週!$W$94),IF(OR(第一週!$W$95=0,IFERROR(FIND("素-",第一週!$W$95),0)=1),"",","),IF(IFERROR(FIND("素-",第一週!$W$95),0)=1,"",第一週!$W$95),IF(OR(第一週!$W$96=0,IFERROR(FIND("素-",第一週!$W$96),0)=1),"",","),IF(IFERROR(FIND("素-",第一週!$W$96),0)=1,"",第一週!$W$96),IF(OR(第一週!$W$97=0,IFERROR(FIND("素-",第一週!$W$97),0)=1),"",","),IF(IFERROR(FIND("素-",第一週!$W$97),0)=1,"",第一週!$W$97),IF(OR(第一週!$W$98=0,IFERROR(FIND("素-",第一週!$W$98),0)=1),"",","),IF(IFERROR(FIND("素-",第一週!$W$98),0)=1,"",第一週!$W$98),IF(OR(第一週!$W$99=0,IFERROR(FIND("素-",第一週!$W$99),0)=1),"",","),IF(IFERROR(FIND("素-",第一週!$W$99),0)=1,"",第一週!$W$99),IF(OR(第一週!$W$100=0,IFERROR(FIND("素-",第一週!$W$100),0)=1),"",","),IF(IFERROR(FIND("素-",第一週!$W$100),0)=1,"",第一週!$W$100))</f>
        <v>冬粉,胡蘿蔔,青江菜,乾香菇,豬絞肉</v>
      </c>
      <c r="G12" s="21" t="str">
        <f>_xlfn.CONCAT(IF(IFERROR(FIND("素-",第一週!$W$109),0)=1,"",第一週!$W$109),IF(OR(第一週!$W$110=0,IFERROR(FIND("素-",第一週!$W$110),0)=1),"",","),IF(IFERROR(FIND("素-",第一週!$W$110),0)=1,"",第一週!$W$110),IF(OR(第一週!$W$111=0,IFERROR(FIND("素-",第一週!$W$111),0)=1),"",","),IF(IFERROR(FIND("素-",第一週!$W$111),0)=1,"",第一週!$W$111),IF(OR(第一週!$W$112=0,IFERROR(FIND("素-",第一週!$W$112),0)=1),"",","),IF(IFERROR(FIND("素-",第一週!$W$112),0)=1,"",第一週!$W$112),IF(OR(第一週!$W$113=0,IFERROR(FIND("素-",第一週!$W$113),0)=1),"",","),IF(IFERROR(FIND("素-",第一週!$W$113),0)=1,"",第一週!$W$113),IF(OR(第一週!$W$114=0,IFERROR(FIND("素-",第一週!$W$114),0)=1),"",","),IF(IFERROR(FIND("素-",第一週!$W$114),0)=1,"",第一週!$W$114),IF(OR(第一週!$W$115=0,IFERROR(FIND("素-",第一週!$W$115),0)=1),"",","),IF(IFERROR(FIND("素-",第一週!$W$115),0)=1,"",第一週!$W$115))</f>
        <v>大白菜,雞蛋,柴魚片,乾香菇絲</v>
      </c>
      <c r="H12" s="21" t="str">
        <f>_xlfn.CONCAT(IF(IFERROR(FIND("素-",第一週!$W$199),0)=1,"",第一週!$W$199),IF(OR(第一週!$W$200=0,IFERROR(FIND("素-",第一週!$W$200),0)=1),"",","),IF(IFERROR(FIND("素-",第一週!$W$200),0)=1,"",第一週!$W$200),IF(OR(第一週!$W$201=0,IFERROR(FIND("素-",第一週!$W$201),0)=1),"",","),IF(IFERROR(FIND("素-",第一週!$W$201),0)=1,"",第一週!$W$201),IF(OR(第一週!$W$202=0,IFERROR(FIND("素-",第一週!$W$202),0)=1),"",","),IF(IFERROR(FIND("素-",第一週!$W$202),0)=1,"",第一週!$W$202),IF(OR(第一週!$W$203=0,IFERROR(FIND("素-",第一週!$W$203),0)=1),"",","),IF(IFERROR(FIND("素-",第一週!$W$203),0)=1,"",第一週!$W$203),IF(OR(第一週!$W$204=0,IFERROR(FIND("素-",第一週!$W$204),0)=1),"",","),IF(IFERROR(FIND("素-",第一週!$W$204),0)=1,"",第一週!$W$204),IF(OR(第一週!$W$205=0,IFERROR(FIND("素-",第一週!$W$205),0)=1),"",","),IF(IFERROR(FIND("素-",第一週!$W$205),0)=1,"",第一週!$W$205),IF(OR(第一週!$W$206=0,IFERROR(FIND("素-",第一週!$W$206),0)=1),"",","),IF(IFERROR(FIND("素-",第一週!$W$206),0)=1,"",第一週!$W$206))</f>
        <v>冷凍玉米,芹菜,白蘿蔔,大骨</v>
      </c>
      <c r="I12" s="474"/>
      <c r="J12" s="482"/>
      <c r="K12" s="482"/>
      <c r="L12" s="489"/>
      <c r="M12" s="489"/>
      <c r="N12" s="489"/>
      <c r="O12" s="489"/>
      <c r="P12" s="489"/>
      <c r="Q12" s="489"/>
      <c r="R12" s="491"/>
    </row>
    <row r="13" spans="1:18" ht="49.9" customHeight="1">
      <c r="A13" s="475">
        <f>IF(第一週!$AA$2=0,"",第一週!$AA$2)</f>
        <v>45450</v>
      </c>
      <c r="B13" s="477" t="s">
        <v>37</v>
      </c>
      <c r="C13" s="479" t="str">
        <f>IF(第一週!$AA$4=0,"",第一週!$AA$4)</f>
        <v>白飯</v>
      </c>
      <c r="D13" s="81" t="str">
        <f>IF(第一週!$AA$34=0,"",第一週!$AA$34)</f>
        <v>滷雞翅</v>
      </c>
      <c r="E13" s="81" t="str">
        <f>IF(第一週!$AA$49=0,"",第一週!$AA$49)</f>
        <v/>
      </c>
      <c r="F13" s="82" t="str">
        <f>IF(第一週!$AA$94=0,"",第一週!$AA$94)</f>
        <v>番茄炒蛋</v>
      </c>
      <c r="G13" s="82" t="str">
        <f>IF(第一週!$AA$109=0,"",第一週!$AA$109)</f>
        <v>鐵板銀芽</v>
      </c>
      <c r="H13" s="82" t="str">
        <f>IF(第一週!$AA$199=0,"",第一週!$AA$199)</f>
        <v>綠豆薏仁湯</v>
      </c>
      <c r="I13" s="473" t="str">
        <f>IF(第一週!$AA$184=0,"",第一週!$AA$184)</f>
        <v>清炒時蔬</v>
      </c>
      <c r="J13" s="481" t="str">
        <f>IF(第一週!$AA$214=0,"",第一週!$AA$214)</f>
        <v>水果</v>
      </c>
      <c r="K13" s="481" t="str">
        <f>IF(第一週!$AA$234=0,"",第一週!$AA$234)</f>
        <v/>
      </c>
      <c r="L13" s="488">
        <f>_xlfn.IFS(菜單總表!L13&lt;4.5,4.5,5.5&lt;菜單總表!L13,5.5,AND(4.5&lt;菜單總表!L13,菜單總表!L13&lt;5.7),菜單總表!L13)</f>
        <v>4.5</v>
      </c>
      <c r="M13" s="488">
        <f>_xlfn.IFS(菜單總表!M13&lt;2.1,2,3&lt;菜單總表!M13,3,AND(2.1&lt;菜單總表!M13,菜單總表!M13&lt;3),菜單總表!M13)</f>
        <v>2</v>
      </c>
      <c r="N13" s="488">
        <f>IF(菜單總表!N13&lt;1.5,1.5+菜單總表!N13/30,菜單總表!N13)</f>
        <v>1.5</v>
      </c>
      <c r="O13" s="488">
        <f>菜單總表!O13</f>
        <v>2.2999999999999998</v>
      </c>
      <c r="P13" s="488">
        <f>IFERROR(SUMPRODUCT(第一週!$AD$4:$AD$259,第一週!$BX$4:$BX$259)/第一週!$AD$2,"")</f>
        <v>0</v>
      </c>
      <c r="Q13" s="488">
        <f>IFERROR(SUMPRODUCT(第一週!$AD$4:$AD$259,第一週!$BY$4:$BY$259)/第一週!$AD$2,"")</f>
        <v>0</v>
      </c>
      <c r="R13" s="490">
        <f>IFERROR(L13*70+M13*75+N13*25+O13*45+P13*60+Q13*150,"")</f>
        <v>606</v>
      </c>
    </row>
    <row r="14" spans="1:18" s="22" customFormat="1" ht="25.15" customHeight="1">
      <c r="A14" s="476"/>
      <c r="B14" s="478"/>
      <c r="C14" s="480"/>
      <c r="D14" s="21" t="str">
        <f>_xlfn.CONCAT(IF(IFERROR(FIND("素-",第一週!$AB$34),0)=1,"",第一週!$AB$34),IF(OR(第一週!$AB$35=0,IFERROR(FIND("素-",第一週!$AB$35),0)=1),"",","),IF(IFERROR(FIND("素-",第一週!$AB$35),0)=1,"",第一週!$AB$35),IF(OR(第一週!$AB$36=0,IFERROR(FIND("素-",第一週!$AB$36),0)=1),"",","),IF(IFERROR(FIND("素-",第一週!$AB$36),0)=1,"",第一週!$AB$36),IF(OR(第一週!$AB$37=0,IFERROR(FIND("素-",第一週!$AB$37),0)=1),"",","),IF(IFERROR(FIND("素-",第一週!$AB$37),0)=1,"",第一週!$AB$37),IF(OR(第一週!$AB$38=0,IFERROR(FIND("素-",第一週!$AB$38),0)=1),"",","),IF(IFERROR(FIND("素-",第一週!$AB$38),0)=1,"",第一週!$AB$38),IF(OR(第一週!$AB$39=0,IFERROR(FIND("素-",第一週!$AB$39),0)=1),"",","),IF(IFERROR(FIND("素-",第一週!$AB$39),0)=1,"",第一週!$AB$39),IF(OR(第一週!$AB$40=0,IFERROR(FIND("素-",第一週!$AB$40),0)=1),"",","),IF(IFERROR(FIND("素-",第一週!$AB$40),0)=1,"",第一週!$AB$40),IF(OR(第一週!$AB$41=0,IFERROR(FIND("素-",第一週!$AB$41),0)=1),"",","),IF(IFERROR(FIND("素-",第一週!$AB$41),0)=1,"",第一週!$AB$41),IF(OR(第一週!$AB$42=0,IFERROR(FIND("素-",第一週!$AB$42),0)=1),"",","),IF(IFERROR(FIND("素-",第一週!$AB$42),0)=1,"",第一週!$AB$42))</f>
        <v>雞翅,滷包,青蔥,蒜仁,八角</v>
      </c>
      <c r="E14" s="21" t="str">
        <f>_xlfn.CONCAT(IF(IFERROR(FIND("素-",第一週!$AB$49),0)=1,"",第一週!$AB$49),IF(OR(第一週!$AB$50=0,IFERROR(FIND("素-",第一週!$AB$50),0)=1),"",","),IF(IFERROR(FIND("素-",第一週!$AB$50),0)=1,"",第一週!$AB$50),IF(OR(第一週!$AB$51=0,IFERROR(FIND("素-",第一週!$AB$51),0)=1),"",","),IF(IFERROR(FIND("素-",第一週!$AB$51),0)=1,"",第一週!$AB$51),IF(OR(第一週!$AB$52=0,IFERROR(FIND("素-",第一週!$AB$52),0)=1),"",","),IF(IFERROR(FIND("素-",第一週!$AB$52),0)=1,"",第一週!$AB$52),IF(OR(第一週!$AB$53=0,IFERROR(FIND("素-",第一週!$AB$53),0)=1),"",","),IF(IFERROR(FIND("素-",第一週!$AB$53),0)=1,"",第一週!$AB$53),IF(OR(第一週!$AB$54=0,IFERROR(FIND("素-",第一週!$AB$54),0)=1),"",","),IF(IFERROR(FIND("素-",第一週!$AB$54),0)=1,"",第一週!$AB$54),IF(OR(第一週!$AB$55=0,IFERROR(FIND("素-",第一週!$AB$55),0)=1),"",","),IF(IFERROR(FIND("素-",第一週!$AB$55),0)=1,"",第一週!$AB$55))</f>
        <v>安小6/7（星期五）校慶補假，全校停餐。</v>
      </c>
      <c r="F14" s="21" t="str">
        <f>_xlfn.CONCAT(IF(IFERROR(FIND("素-",第一週!$AB$94),0)=1,"",第一週!$AB$94),IF(OR(第一週!$AB$95=0,IFERROR(FIND("素-",第一週!$AB$95),0)=1),"",","),IF(IFERROR(FIND("素-",第一週!$AB$95),0)=1,"",第一週!$AB$95),IF(OR(第一週!$AB$96=0,IFERROR(FIND("素-",第一週!$AB$96),0)=1),"",","),IF(IFERROR(FIND("素-",第一週!$AB$96),0)=1,"",第一週!$AB$96),IF(OR(第一週!$AB$97=0,IFERROR(FIND("素-",第一週!$AB$97),0)=1),"",","),IF(IFERROR(FIND("素-",第一週!$AB$97),0)=1,"",第一週!$AB$97),IF(OR(第一週!$AB$98=0,IFERROR(FIND("素-",第一週!$AB$98),0)=1),"",","),IF(IFERROR(FIND("素-",第一週!$AB$98),0)=1,"",第一週!$AB$98),IF(OR(第一週!$AB$99=0,IFERROR(FIND("素-",第一週!$AB$99),0)=1),"",","),IF(IFERROR(FIND("素-",第一週!$AB$99),0)=1,"",第一週!$AB$99),IF(OR(第一週!$AB$100=0,IFERROR(FIND("素-",第一週!$AB$100),0)=1),"",","),IF(IFERROR(FIND("素-",第一週!$AB$100),0)=1,"",第一週!$AB$100))</f>
        <v>番茄,雞蛋,番茄糊</v>
      </c>
      <c r="G14" s="21" t="str">
        <f>_xlfn.CONCAT(IF(IFERROR(FIND("素-",第一週!$AB$109),0)=1,"",第一週!$AB$109),IF(OR(第一週!$AB$110=0,IFERROR(FIND("素-",第一週!$AB$110),0)=1),"",","),IF(IFERROR(FIND("素-",第一週!$AB$110),0)=1,"",第一週!$AB$110),IF(OR(第一週!$AB$111=0,IFERROR(FIND("素-",第一週!$AB$111),0)=1),"",","),IF(IFERROR(FIND("素-",第一週!$AB$111),0)=1,"",第一週!$AB$111),IF(OR(第一週!$AB$112=0,IFERROR(FIND("素-",第一週!$AB$112),0)=1),"",","),IF(IFERROR(FIND("素-",第一週!$AB$112),0)=1,"",第一週!$AB$112),IF(OR(第一週!$AB$113=0,IFERROR(FIND("素-",第一週!$AB$113),0)=1),"",","),IF(IFERROR(FIND("素-",第一週!$AB$113),0)=1,"",第一週!$AB$113),IF(OR(第一週!$AB$114=0,IFERROR(FIND("素-",第一週!$AB$114),0)=1),"",","),IF(IFERROR(FIND("素-",第一週!$AB$114),0)=1,"",第一週!$AB$114),IF(OR(第一週!$AB$115=0,IFERROR(FIND("素-",第一週!$AB$115),0)=1),"",","),IF(IFERROR(FIND("素-",第一週!$AB$115),0)=1,"",第一週!$AB$115))</f>
        <v>綠豆芽,胡蘿蔔,大蒜,木耳</v>
      </c>
      <c r="H14" s="21" t="str">
        <f>_xlfn.CONCAT(IF(IFERROR(FIND("素-",第一週!$AB$199),0)=1,"",第一週!$AB$199),IF(OR(第一週!$AB$200=0,IFERROR(FIND("素-",第一週!$AB$200),0)=1),"",","),IF(IFERROR(FIND("素-",第一週!$AB$200),0)=1,"",第一週!$AB$200),IF(OR(第一週!$AB$201=0,IFERROR(FIND("素-",第一週!$AB$201),0)=1),"",","),IF(IFERROR(FIND("素-",第一週!$AB$201),0)=1,"",第一週!$AB$201),IF(OR(第一週!$AB$202=0,IFERROR(FIND("素-",第一週!$AB$202),0)=1),"",","),IF(IFERROR(FIND("素-",第一週!$AB$202),0)=1,"",第一週!$AB$202),IF(OR(第一週!$AB$203=0,IFERROR(FIND("素-",第一週!$AB$203),0)=1),"",","),IF(IFERROR(FIND("素-",第一週!$AB$203),0)=1,"",第一週!$AB$203),IF(OR(第一週!$AB$204=0,IFERROR(FIND("素-",第一週!$AB$204),0)=1),"",","),IF(IFERROR(FIND("素-",第一週!$AB$204),0)=1,"",第一週!$AB$204),IF(OR(第一週!$AB$205=0,IFERROR(FIND("素-",第一週!$AB$205),0)=1),"",","),IF(IFERROR(FIND("素-",第一週!$AB$205),0)=1,"",第一週!$AB$205),IF(OR(第一週!$AB$206=0,IFERROR(FIND("素-",第一週!$AB$206),0)=1),"",","),IF(IFERROR(FIND("素-",第一週!$AB$206),0)=1,"",第一週!$AB$206))</f>
        <v>小薏仁,綠豆,二砂糖</v>
      </c>
      <c r="I14" s="474"/>
      <c r="J14" s="482"/>
      <c r="K14" s="482"/>
      <c r="L14" s="489"/>
      <c r="M14" s="489"/>
      <c r="N14" s="489"/>
      <c r="O14" s="489"/>
      <c r="P14" s="489"/>
      <c r="Q14" s="489"/>
      <c r="R14" s="491"/>
    </row>
    <row r="15" spans="1:18" ht="49.9" customHeight="1">
      <c r="A15" s="475">
        <f>IF(第一週!$AF$2=0,"",第一週!$AF$2)</f>
        <v>45451</v>
      </c>
      <c r="B15" s="477" t="s">
        <v>38</v>
      </c>
      <c r="C15" s="479" t="str">
        <f>IF(第一週!$AF$4=0,"",第一週!$AF$4)</f>
        <v>五穀飯</v>
      </c>
      <c r="D15" s="81" t="str">
        <f>IF(第一週!$AF$34=0,"",第一週!$AF$34)</f>
        <v/>
      </c>
      <c r="E15" s="81" t="str">
        <f>IF(第一週!$AF$49=0,"",第一週!$AF$49)</f>
        <v/>
      </c>
      <c r="F15" s="82" t="str">
        <f>IF(第一週!$AF$94=0,"",第一週!$AF$94)</f>
        <v/>
      </c>
      <c r="G15" s="82" t="str">
        <f>IF(第一週!$AF$109=0,"",第一週!$AF$109)</f>
        <v/>
      </c>
      <c r="H15" s="82" t="str">
        <f>IF(第一週!$AF$199=0,"",第一週!$AF$199)</f>
        <v/>
      </c>
      <c r="I15" s="473" t="str">
        <f>IF(第一週!$AF$184=0,"",第一週!$AF$184)</f>
        <v>清炒時蔬</v>
      </c>
      <c r="J15" s="481" t="str">
        <f>IF(第一週!$AF$214=0,"",第一週!$AF$214)</f>
        <v/>
      </c>
      <c r="K15" s="481" t="str">
        <f>IF(第一週!$AF$234=0,"",第一週!$AF$234)</f>
        <v/>
      </c>
      <c r="L15" s="488" t="str">
        <f>IF(菜單總表!L15&lt;4.4,4.4+菜單總表!L15/30,菜單總表!L15)</f>
        <v/>
      </c>
      <c r="M15" s="488" t="str">
        <f>IF(菜單總表!M15&lt;2.1,"2.0",菜單總表!M15)</f>
        <v/>
      </c>
      <c r="N15" s="488"/>
      <c r="O15" s="488"/>
      <c r="P15" s="488" t="str">
        <f>IFERROR(SUMPRODUCT(第一週!$AI$4:$AI$259,第一週!$CF$4:$CF$259)/第一週!$AI$2,"")</f>
        <v/>
      </c>
      <c r="Q15" s="488" t="str">
        <f>IFERROR(SUMPRODUCT(第一週!$AI$4:$AI$259,第一週!$CG$4:$CG$259)/第一週!$AI$2,"")</f>
        <v/>
      </c>
      <c r="R15" s="490" t="str">
        <f>IFERROR(L15*70+M15*75+N15*25+O15*45+P15*60+Q15*150,"")</f>
        <v/>
      </c>
    </row>
    <row r="16" spans="1:18" s="22" customFormat="1" ht="25.15" customHeight="1">
      <c r="A16" s="476"/>
      <c r="B16" s="478"/>
      <c r="C16" s="480"/>
      <c r="D16" s="21" t="str">
        <f>_xlfn.CONCAT(IF(IFERROR(FIND("素-",第一週!$AG$34),0)=1,"",第一週!$AG$34),IF(OR(第一週!$AG$35=0,IFERROR(FIND("素-",第一週!$AG$35),0)=1),"",","),IF(IFERROR(FIND("素-",第一週!$AG$35),0)=1,"",第一週!$AG$35),IF(OR(第一週!$AG$36=0,IFERROR(FIND("素-",第一週!$AG$36),0)=1),"",","),IF(IFERROR(FIND("素-",第一週!$AG$36),0)=1,"",第一週!$AG$36),IF(OR(第一週!$AG$37=0,IFERROR(FIND("素-",第一週!$AG$37),0)=1),"",","),IF(IFERROR(FIND("素-",第一週!$AG$37),0)=1,"",第一週!$AG$37),IF(OR(第一週!$AG$38=0,IFERROR(FIND("素-",第一週!$AG$38),0)=1),"",","),IF(IFERROR(FIND("素-",第一週!$AG$38),0)=1,"",第一週!$AG$38),IF(OR(第一週!$AG$39=0,IFERROR(FIND("素-",第一週!$AG$39),0)=1),"",","),IF(IFERROR(FIND("素-",第一週!$AG$39),0)=1,"",第一週!$AG$39),IF(OR(第一週!$AG$40=0,IFERROR(FIND("素-",第一週!$AG$40),0)=1),"",","),IF(IFERROR(FIND("素-",第一週!$AG$40),0)=1,"",第一週!$AG$40),IF(OR(第一週!$AG$41=0,IFERROR(FIND("素-",第一週!$AG$41),0)=1),"",","),IF(IFERROR(FIND("素-",第一週!$AG$41),0)=1,"",第一週!$AG$41),IF(OR(第一週!$AG$42=0,IFERROR(FIND("素-",第一週!$AG$42),0)=1),"",","),IF(IFERROR(FIND("素-",第一週!$AG$42),0)=1,"",第一週!$AG$42))</f>
        <v/>
      </c>
      <c r="E16" s="21" t="str">
        <f>_xlfn.CONCAT(IF(IFERROR(FIND("素-",第一週!$AG$49),0)=1,"",第一週!$AG$49),IF(OR(第一週!$AG$50=0,IFERROR(FIND("素-",第一週!$AG$50),0)=1),"",","),IF(IFERROR(FIND("素-",第一週!$AG$50),0)=1,"",第一週!$AG$50),IF(OR(第一週!$AG$51=0,IFERROR(FIND("素-",第一週!$AG$51),0)=1),"",","),IF(IFERROR(FIND("素-",第一週!$AG$51),0)=1,"",第一週!$AG$51),IF(OR(第一週!$AG$52=0,IFERROR(FIND("素-",第一週!$AG$52),0)=1),"",","),IF(IFERROR(FIND("素-",第一週!$AG$52),0)=1,"",第一週!$AG$52),IF(OR(第一週!$AG$53=0,IFERROR(FIND("素-",第一週!$AG$53),0)=1),"",","),IF(IFERROR(FIND("素-",第一週!$AG$53),0)=1,"",第一週!$AG$53),IF(OR(第一週!$AG$54=0,IFERROR(FIND("素-",第一週!$AG$54),0)=1),"",","),IF(IFERROR(FIND("素-",第一週!$AG$54),0)=1,"",第一週!$AG$54),IF(OR(第一週!$AG$55=0,IFERROR(FIND("素-",第一週!$AG$55),0)=1),"",","),IF(IFERROR(FIND("素-",第一週!$AG$55),0)=1,"",第一週!$AG$55))</f>
        <v/>
      </c>
      <c r="F16" s="21" t="str">
        <f>_xlfn.CONCAT(IF(IFERROR(FIND("素-",第一週!$AG$94),0)=1,"",第一週!$AG$94),IF(OR(第一週!$AG$95=0,IFERROR(FIND("素-",第一週!$AG$95),0)=1),"",","),IF(IFERROR(FIND("素-",第一週!$AG$95),0)=1,"",第一週!$AG$95),IF(OR(第一週!$AG$96=0,IFERROR(FIND("素-",第一週!$AG$96),0)=1),"",","),IF(IFERROR(FIND("素-",第一週!$AG$96),0)=1,"",第一週!$AG$96),IF(OR(第一週!$AG$97=0,IFERROR(FIND("素-",第一週!$AG$97),0)=1),"",","),IF(IFERROR(FIND("素-",第一週!$AG$97),0)=1,"",第一週!$AG$97),IF(OR(第一週!$AG$98=0,IFERROR(FIND("素-",第一週!$AG$98),0)=1),"",","),IF(IFERROR(FIND("素-",第一週!$AG$98),0)=1,"",第一週!$AG$98),IF(OR(第一週!$AG$99=0,IFERROR(FIND("素-",第一週!$AG$99),0)=1),"",","),IF(IFERROR(FIND("素-",第一週!$AG$99),0)=1,"",第一週!$AG$99),IF(OR(第一週!$AG$100=0,IFERROR(FIND("素-",第一週!$AG$100),0)=1),"",","),IF(IFERROR(FIND("素-",第一週!$AG$100),0)=1,"",第一週!$AG$100))</f>
        <v/>
      </c>
      <c r="G16" s="21" t="str">
        <f>_xlfn.CONCAT(IF(IFERROR(FIND("素-",第一週!$AG$109),0)=1,"",第一週!$AG$109),IF(OR(第一週!$AG$110=0,IFERROR(FIND("素-",第一週!$AG$110),0)=1),"",","),IF(IFERROR(FIND("素-",第一週!$AG$110),0)=1,"",第一週!$AG$110),IF(OR(第一週!$AG$111=0,IFERROR(FIND("素-",第一週!$AG$111),0)=1),"",","),IF(IFERROR(FIND("素-",第一週!$AG$111),0)=1,"",第一週!$AG$111),IF(OR(第一週!$AG$112=0,IFERROR(FIND("素-",第一週!$AG$112),0)=1),"",","),IF(IFERROR(FIND("素-",第一週!$AG$112),0)=1,"",第一週!$AG$112),IF(OR(第一週!$AG$113=0,IFERROR(FIND("素-",第一週!$AG$113),0)=1),"",","),IF(IFERROR(FIND("素-",第一週!$AG$113),0)=1,"",第一週!$AG$113),IF(OR(第一週!$AG$114=0,IFERROR(FIND("素-",第一週!$AG$114),0)=1),"",","),IF(IFERROR(FIND("素-",第一週!$AG$114),0)=1,"",第一週!$AG$114),IF(OR(第一週!$AG$115=0,IFERROR(FIND("素-",第一週!$AG$115),0)=1),"",","),IF(IFERROR(FIND("素-",第一週!$AG$115),0)=1,"",第一週!$AG$115))</f>
        <v/>
      </c>
      <c r="H16" s="21" t="str">
        <f>_xlfn.CONCAT(IF(IFERROR(FIND("素-",第一週!$AG$199),0)=1,"",第一週!$AG$199),IF(OR(第一週!$AG$200=0,IFERROR(FIND("素-",第一週!$AG$200),0)=1),"",","),IF(IFERROR(FIND("素-",第一週!$AG$200),0)=1,"",第一週!$AG$200),IF(OR(第一週!$AG$201=0,IFERROR(FIND("素-",第一週!$AG$201),0)=1),"",","),IF(IFERROR(FIND("素-",第一週!$AG$201),0)=1,"",第一週!$AG$201),IF(OR(第一週!$AG$202=0,IFERROR(FIND("素-",第一週!$AG$202),0)=1),"",","),IF(IFERROR(FIND("素-",第一週!$AG$202),0)=1,"",第一週!$AG$202),IF(OR(第一週!$AG$203=0,IFERROR(FIND("素-",第一週!$AG$203),0)=1),"",","),IF(IFERROR(FIND("素-",第一週!$AG$203),0)=1,"",第一週!$AG$203),IF(OR(第一週!$AG$204=0,IFERROR(FIND("素-",第一週!$AG$204),0)=1),"",","),IF(IFERROR(FIND("素-",第一週!$AG$204),0)=1,"",第一週!$AG$204),IF(OR(第一週!$AG$205=0,IFERROR(FIND("素-",第一週!$AG$205),0)=1),"",","),IF(IFERROR(FIND("素-",第一週!$AG$205),0)=1,"",第一週!$AG$205),IF(OR(第一週!$AG$206=0,IFERROR(FIND("素-",第一週!$AG$206),0)=1),"",","),IF(IFERROR(FIND("素-",第一週!$AG$206),0)=1,"",第一週!$AG$206))</f>
        <v/>
      </c>
      <c r="I16" s="474"/>
      <c r="J16" s="482"/>
      <c r="K16" s="482"/>
      <c r="L16" s="489"/>
      <c r="M16" s="489"/>
      <c r="N16" s="489"/>
      <c r="O16" s="489"/>
      <c r="P16" s="489"/>
      <c r="Q16" s="489"/>
      <c r="R16" s="491"/>
    </row>
    <row r="17" spans="1:18" ht="49.9" customHeight="1">
      <c r="A17" s="475"/>
      <c r="B17" s="477" t="s">
        <v>39</v>
      </c>
      <c r="C17" s="479"/>
      <c r="D17" s="81"/>
      <c r="E17" s="83"/>
      <c r="F17" s="84"/>
      <c r="G17" s="81"/>
      <c r="H17" s="81"/>
      <c r="I17" s="473"/>
      <c r="J17" s="481"/>
      <c r="K17" s="481"/>
      <c r="L17" s="492"/>
      <c r="M17" s="488"/>
      <c r="N17" s="488"/>
      <c r="O17" s="492"/>
      <c r="P17" s="492"/>
      <c r="Q17" s="492"/>
      <c r="R17" s="490"/>
    </row>
    <row r="18" spans="1:18" s="22" customFormat="1" ht="25.15" customHeight="1">
      <c r="A18" s="476"/>
      <c r="B18" s="478"/>
      <c r="C18" s="480"/>
      <c r="D18" s="21"/>
      <c r="E18" s="21"/>
      <c r="F18" s="21"/>
      <c r="G18" s="21"/>
      <c r="H18" s="21"/>
      <c r="I18" s="474"/>
      <c r="J18" s="482"/>
      <c r="K18" s="482"/>
      <c r="L18" s="493"/>
      <c r="M18" s="489"/>
      <c r="N18" s="489"/>
      <c r="O18" s="493"/>
      <c r="P18" s="493"/>
      <c r="Q18" s="493"/>
      <c r="R18" s="491"/>
    </row>
    <row r="19" spans="1:18" ht="49.9" customHeight="1">
      <c r="A19" s="475">
        <f>IF(第二週!$G$2=0,"",第二週!$G$2)</f>
        <v>45453</v>
      </c>
      <c r="B19" s="477" t="s">
        <v>22</v>
      </c>
      <c r="C19" s="479" t="str">
        <f>IF(第二週!$G$4=0,"",第二週!$G$4)</f>
        <v/>
      </c>
      <c r="D19" s="81" t="str">
        <f>IF(第二週!$G$34=0,"",第二週!$G$34)</f>
        <v>端午節</v>
      </c>
      <c r="E19" s="81" t="str">
        <f>IF(第二週!$G$49=0,"",第二週!$G$49)</f>
        <v/>
      </c>
      <c r="F19" s="82" t="str">
        <f>IF(第二週!$G$94=0,"",第二週!$G$94)</f>
        <v/>
      </c>
      <c r="G19" s="82" t="str">
        <f>IF(第二週!$G$109=0,"",第二週!$G$109)</f>
        <v/>
      </c>
      <c r="H19" s="82" t="str">
        <f>IF(第二週!$G$199=0,"",第二週!$G$199)</f>
        <v/>
      </c>
      <c r="I19" s="473" t="str">
        <f>IF(第二週!$G$184=0,"",第二週!$G$184)</f>
        <v/>
      </c>
      <c r="J19" s="481" t="str">
        <f>IF(第二週!$G$214=0,"",第二週!$G$214)</f>
        <v/>
      </c>
      <c r="K19" s="481" t="str">
        <f>IF(第二週!$G$234=0,"",第二週!$G$234)</f>
        <v/>
      </c>
      <c r="L19" s="488">
        <f>_xlfn.IFS(菜單總表!L19&lt;4.5,4.5,5.5&lt;菜單總表!L19,5.5,AND(4.5&lt;菜單總表!L19,菜單總表!L19&lt;5.7),菜單總表!L19)</f>
        <v>4.5</v>
      </c>
      <c r="M19" s="488">
        <f>_xlfn.IFS(菜單總表!M19&lt;2.1,2,3&lt;菜單總表!M19,3,AND(2.1&lt;菜單總表!M19,菜單總表!M19&lt;3),菜單總表!M19)</f>
        <v>2</v>
      </c>
      <c r="N19" s="488">
        <f>IF(菜單總表!N19&lt;1.5,1.5+菜單總表!N19/30,菜單總表!N19)</f>
        <v>1.5</v>
      </c>
      <c r="O19" s="488">
        <f>菜單總表!O19</f>
        <v>2.2999999999999998</v>
      </c>
      <c r="P19" s="488">
        <f>IFERROR(SUMPRODUCT(第二週!$J$4:$J$259,第二週!$AQ$4:$AQ$259)/第二週!$J$2,"")</f>
        <v>0</v>
      </c>
      <c r="Q19" s="488">
        <f>IFERROR(SUMPRODUCT(第二週!$J$4:$J$259,第二週!$AR$4:$AR$259)/第二週!$J$2,"")</f>
        <v>0</v>
      </c>
      <c r="R19" s="490">
        <f>IFERROR(L19*70+M19*75+N19*25+O19*45+P19*60+Q19*150,"")</f>
        <v>606</v>
      </c>
    </row>
    <row r="20" spans="1:18" s="22" customFormat="1" ht="25.15" customHeight="1">
      <c r="A20" s="476"/>
      <c r="B20" s="478"/>
      <c r="C20" s="480"/>
      <c r="D20" s="21" t="str">
        <f>_xlfn.CONCAT(IF(IFERROR(FIND("素-",第二週!$H$34),0)=1,"",第二週!$H$34),IF(OR(第二週!$H$35=0,IFERROR(FIND("素-",第二週!$H$35),0)=1),"",","),IF(IFERROR(FIND("素-",第二週!$H$35),0)=1,"",第二週!$H$35),IF(OR(第二週!$H$36=0,IFERROR(FIND("素-",第二週!$H$36),0)=1),"",","),IF(IFERROR(FIND("素-",第二週!$H$36),0)=1,"",第二週!$H$36),IF(OR(第二週!$H$37=0,IFERROR(FIND("素-",第二週!$H$37),0)=1),"",","),IF(IFERROR(FIND("素-",第二週!$H$37),0)=1,"",第二週!$H$37),IF(OR(第二週!$H$38=0,IFERROR(FIND("素-",第二週!$H$38),0)=1),"",","),IF(IFERROR(FIND("素-",第二週!$H$38),0)=1,"",第二週!$H$38),IF(OR(第二週!$H$39=0,IFERROR(FIND("素-",第二週!$H$39),0)=1),"",","),IF(IFERROR(FIND("素-",第二週!$H$39),0)=1,"",第二週!$H$39),IF(OR(第二週!$H$40=0,IFERROR(FIND("素-",第二週!$H$40),0)=1),"",","),IF(IFERROR(FIND("素-",第二週!$H$40),0)=1,"",第二週!$H$40),IF(OR(第二週!$H$41=0,IFERROR(FIND("素-",第二週!$H$41),0)=1),"",","),IF(IFERROR(FIND("素-",第二週!$H$41),0)=1,"",第二週!$H$41),IF(OR(第二週!$H$42=0,IFERROR(FIND("素-",第二週!$H$42),0)=1),"",","),IF(IFERROR(FIND("素-",第二週!$H$42),0)=1,"",第二週!$H$42))</f>
        <v/>
      </c>
      <c r="E20" s="21" t="str">
        <f>_xlfn.CONCAT(IF(IFERROR(FIND("素-",第二週!$H$49),0)=1,"",第二週!$H$49),IF(OR(第二週!$H$50=0,IFERROR(FIND("素-",第二週!$H$50),0)=1),"",","),IF(IFERROR(FIND("素-",第二週!$H$50),0)=1,"",第二週!$H$50),IF(OR(第二週!$H$51=0,IFERROR(FIND("素-",第二週!$H$51),0)=1),"",","),IF(IFERROR(FIND("素-",第二週!$H$51),0)=1,"",第二週!$H$51),IF(OR(第二週!$H$52=0,IFERROR(FIND("素-",第二週!$H$52),0)=1),"",","),IF(IFERROR(FIND("素-",第二週!$H$52),0)=1,"",第二週!$H$52),IF(OR(第二週!$H$53=0,IFERROR(FIND("素-",第二週!$H$53),0)=1),"",","),IF(IFERROR(FIND("素-",第二週!$H$53),0)=1,"",第二週!$H$53),IF(OR(第二週!$H$54=0,IFERROR(FIND("素-",第二週!$H$54),0)=1),"",","),IF(IFERROR(FIND("素-",第二週!$H$54),0)=1,"",第二週!$H$54),IF(OR(第二週!$H$55=0,IFERROR(FIND("素-",第二週!$H$55),0)=1),"",","),IF(IFERROR(FIND("素-",第二週!$H$55),0)=1,"",第二週!$H$55))</f>
        <v/>
      </c>
      <c r="F20" s="21" t="str">
        <f>_xlfn.CONCAT(IF(IFERROR(FIND("素-",第二週!$H$94),0)=1,"",第二週!$H$94),IF(OR(第二週!$H$95=0,IFERROR(FIND("素-",第二週!$H$95),0)=1),"",","),IF(IFERROR(FIND("素-",第二週!$H$95),0)=1,"",第二週!$H$95),IF(OR(第二週!$H$96=0,IFERROR(FIND("素-",第二週!$H$96),0)=1),"",","),IF(IFERROR(FIND("素-",第二週!$H$96),0)=1,"",第二週!$H$96),IF(OR(第二週!$H$97=0,IFERROR(FIND("素-",第二週!$H$97),0)=1),"",","),IF(IFERROR(FIND("素-",第二週!$H$97),0)=1,"",第二週!$H$97),IF(OR(第二週!$H$98=0,IFERROR(FIND("素-",第二週!$H$98),0)=1),"",","),IF(IFERROR(FIND("素-",第二週!$H$98),0)=1,"",第二週!$H$98),IF(OR(第二週!$H$99=0,IFERROR(FIND("素-",第二週!$H$99),0)=1),"",","),IF(IFERROR(FIND("素-",第二週!$H$99),0)=1,"",第二週!$H$99),IF(OR(第二週!$H$100=0,IFERROR(FIND("素-",第二週!$H$100),0)=1),"",","),IF(IFERROR(FIND("素-",第二週!$H$100),0)=1,"",第二週!$H$100))</f>
        <v/>
      </c>
      <c r="G20" s="21" t="str">
        <f>_xlfn.CONCAT(IF(IFERROR(FIND("素-",第二週!$H$109),0)=1,"",第二週!$H$109),IF(OR(第二週!$H$110=0,IFERROR(FIND("素-",第二週!$H$110),0)=1),"",","),IF(IFERROR(FIND("素-",第二週!$H$110),0)=1,"",第二週!$H$110),IF(OR(第二週!$H$111=0,IFERROR(FIND("素-",第二週!$H$111),0)=1),"",","),IF(IFERROR(FIND("素-",第二週!$H$111),0)=1,"",第二週!$H$111),IF(OR(第二週!$H$112=0,IFERROR(FIND("素-",第二週!$H$112),0)=1),"",","),IF(IFERROR(FIND("素-",第二週!$H$112),0)=1,"",第二週!$H$112),IF(OR(第二週!$H$113=0,IFERROR(FIND("素-",第二週!$H$113),0)=1),"",","),IF(IFERROR(FIND("素-",第二週!$H$113),0)=1,"",第二週!$H$113),IF(OR(第二週!$H$114=0,IFERROR(FIND("素-",第二週!$H$114),0)=1),"",","),IF(IFERROR(FIND("素-",第二週!$H$114),0)=1,"",第二週!$H$114),IF(OR(第二週!$H$115=0,IFERROR(FIND("素-",第二週!$H$115),0)=1),"",","),IF(IFERROR(FIND("素-",第二週!$H$115),0)=1,"",第二週!$H$115))</f>
        <v/>
      </c>
      <c r="H20" s="21" t="str">
        <f>_xlfn.CONCAT(IF(IFERROR(FIND("素-",第二週!$H$199),0)=1,"",第二週!$H$199),IF(OR(第二週!$H$200=0,IFERROR(FIND("素-",第二週!$H$200),0)=1),"",","),IF(IFERROR(FIND("素-",第二週!$H$200),0)=1,"",第二週!$H$200),IF(OR(第二週!$H$201=0,IFERROR(FIND("素-",第二週!$H$201),0)=1),"",","),IF(IFERROR(FIND("素-",第二週!$H$201),0)=1,"",第二週!$H$201),IF(OR(第二週!$H$202=0,IFERROR(FIND("素-",第二週!$H$202),0)=1),"",","),IF(IFERROR(FIND("素-",第二週!$H$202),0)=1,"",第二週!$H$202),IF(OR(第二週!$H$203=0,IFERROR(FIND("素-",第二週!$H$203),0)=1),"",","),IF(IFERROR(FIND("素-",第二週!$H$203),0)=1,"",第二週!$H$203),IF(OR(第二週!$H$204=0,IFERROR(FIND("素-",第二週!$H$204),0)=1),"",","),IF(IFERROR(FIND("素-",第二週!$H$204),0)=1,"",第二週!$H$204),IF(OR(第二週!$H$205=0,IFERROR(FIND("素-",第二週!$H$205),0)=1),"",","),IF(IFERROR(FIND("素-",第二週!$H$205),0)=1,"",第二週!$H$205),IF(OR(第二週!$H$206=0,IFERROR(FIND("素-",第二週!$H$206),0)=1),"",","),IF(IFERROR(FIND("素-",第二週!$H$206),0)=1,"",第二週!$H$206))</f>
        <v/>
      </c>
      <c r="I20" s="474"/>
      <c r="J20" s="482"/>
      <c r="K20" s="482"/>
      <c r="L20" s="489"/>
      <c r="M20" s="489"/>
      <c r="N20" s="489"/>
      <c r="O20" s="489"/>
      <c r="P20" s="489"/>
      <c r="Q20" s="489"/>
      <c r="R20" s="491"/>
    </row>
    <row r="21" spans="1:18" ht="49.9" customHeight="1">
      <c r="A21" s="475">
        <f>IF(第二週!$L$2=0,"",第二週!$L$2)</f>
        <v>45454</v>
      </c>
      <c r="B21" s="477" t="s">
        <v>23</v>
      </c>
      <c r="C21" s="479" t="str">
        <f>IF(第二週!$L$4=0,"",第二週!$L$4)</f>
        <v>白飯</v>
      </c>
      <c r="D21" s="81" t="str">
        <f>IF(第二週!$L$34=0,"",第二週!$L$34)</f>
        <v>滷豬腳</v>
      </c>
      <c r="E21" s="81" t="str">
        <f>IF(第二週!$L$49=0,"",第二週!$L$49)</f>
        <v/>
      </c>
      <c r="F21" s="82" t="str">
        <f>IF(第二週!$L$94=0,"",第二週!$L$94)</f>
        <v>彩椒花椰</v>
      </c>
      <c r="G21" s="82" t="str">
        <f>IF(第二週!$L$109=0,"",第二週!$L$109)</f>
        <v>芋香大白</v>
      </c>
      <c r="H21" s="82" t="str">
        <f>IF(第二週!$L$199=0,"",第二週!$L$199)</f>
        <v>雙色蘿蔔湯</v>
      </c>
      <c r="I21" s="473" t="str">
        <f>IF(第二週!$L$184=0,"",第二週!$L$184)</f>
        <v>清炒時蔬</v>
      </c>
      <c r="J21" s="481" t="str">
        <f>IF(第二週!$L$214=0,"",第二週!$L$214)</f>
        <v>牛奶</v>
      </c>
      <c r="K21" s="481" t="str">
        <f>IF(第二週!$L$234=0,"",第二週!$L$234)</f>
        <v/>
      </c>
      <c r="L21" s="488">
        <f>_xlfn.IFS(菜單總表!L21&lt;4.5,4.5,5.5&lt;菜單總表!L21,5.5,AND(4.5&lt;菜單總表!L21,菜單總表!L21&lt;5.7),菜單總表!L21)</f>
        <v>4.5</v>
      </c>
      <c r="M21" s="488">
        <f>_xlfn.IFS(菜單總表!M21&lt;2.1,2,3&lt;菜單總表!M21,3,AND(2.1&lt;菜單總表!M21,菜單總表!M21&lt;3),菜單總表!M21)</f>
        <v>2</v>
      </c>
      <c r="N21" s="488">
        <f>IF(菜單總表!N21&lt;1.5,1.5+菜單總表!N21/30,菜單總表!N21)</f>
        <v>1.5</v>
      </c>
      <c r="O21" s="488">
        <f>菜單總表!O21</f>
        <v>2.2999999999999998</v>
      </c>
      <c r="P21" s="488">
        <f>IFERROR(SUMPRODUCT(第二週!$O$4:$O$259,第二週!$AX$4:$AX$259)/第二週!$O$2,"")</f>
        <v>0</v>
      </c>
      <c r="Q21" s="488">
        <f>IFERROR(SUMPRODUCT(第二週!$O$4:$O$259,第二週!$AY$4:$AY$259)/第二週!$O$2,"")</f>
        <v>0</v>
      </c>
      <c r="R21" s="490">
        <f>IFERROR(L21*70+M21*75+N21*25+O21*45+P21*60+Q21*150,"")</f>
        <v>606</v>
      </c>
    </row>
    <row r="22" spans="1:18" s="22" customFormat="1" ht="25.15" customHeight="1">
      <c r="A22" s="476"/>
      <c r="B22" s="478"/>
      <c r="C22" s="480"/>
      <c r="D22" s="21" t="str">
        <f>_xlfn.CONCAT(IF(IFERROR(FIND("素-",第二週!$M$34),0)=1,"",第二週!$M$34),IF(OR(第二週!$M$35=0,IFERROR(FIND("素-",第二週!$M$35),0)=1),"",","),IF(IFERROR(FIND("素-",第二週!$M$35),0)=1,"",第二週!$M$35),IF(OR(第二週!$M$36=0,IFERROR(FIND("素-",第二週!$M$36),0)=1),"",","),IF(IFERROR(FIND("素-",第二週!$M$36),0)=1,"",第二週!$M$36),IF(OR(第二週!$M$37=0,IFERROR(FIND("素-",第二週!$M$37),0)=1),"",","),IF(IFERROR(FIND("素-",第二週!$M$37),0)=1,"",第二週!$M$37),IF(OR(第二週!$M$38=0,IFERROR(FIND("素-",第二週!$M$38),0)=1),"",","),IF(IFERROR(FIND("素-",第二週!$M$38),0)=1,"",第二週!$M$38),IF(OR(第二週!$M$39=0,IFERROR(FIND("素-",第二週!$M$39),0)=1),"",","),IF(IFERROR(FIND("素-",第二週!$M$39),0)=1,"",第二週!$M$39),IF(OR(第二週!$M$40=0,IFERROR(FIND("素-",第二週!$M$40),0)=1),"",","),IF(IFERROR(FIND("素-",第二週!$M$40),0)=1,"",第二週!$M$40),IF(OR(第二週!$M$41=0,IFERROR(FIND("素-",第二週!$M$41),0)=1),"",","),IF(IFERROR(FIND("素-",第二週!$M$41),0)=1,"",第二週!$M$41),IF(OR(第二週!$M$42=0,IFERROR(FIND("素-",第二週!$M$42),0)=1),"",","),IF(IFERROR(FIND("素-",第二週!$M$42),0)=1,"",第二週!$M$42))</f>
        <v>豬前腿肉,豬腳,小三角油豆腐,胡蘿蔔,滷包,青蔥,蒜仁,薑絲</v>
      </c>
      <c r="E22" s="21" t="str">
        <f>_xlfn.CONCAT(IF(IFERROR(FIND("素-",第二週!$M$49),0)=1,"",第二週!$M$49),IF(OR(第二週!$M$50=0,IFERROR(FIND("素-",第二週!$M$50),0)=1),"",","),IF(IFERROR(FIND("素-",第二週!$M$50),0)=1,"",第二週!$M$50),IF(OR(第二週!$M$51=0,IFERROR(FIND("素-",第二週!$M$51),0)=1),"",","),IF(IFERROR(FIND("素-",第二週!$M$51),0)=1,"",第二週!$M$51),IF(OR(第二週!$M$52=0,IFERROR(FIND("素-",第二週!$M$52),0)=1),"",","),IF(IFERROR(FIND("素-",第二週!$M$52),0)=1,"",第二週!$M$52),IF(OR(第二週!$M$53=0,IFERROR(FIND("素-",第二週!$M$53),0)=1),"",","),IF(IFERROR(FIND("素-",第二週!$M$53),0)=1,"",第二週!$M$53),IF(OR(第二週!$M$54=0,IFERROR(FIND("素-",第二週!$M$54),0)=1),"",","),IF(IFERROR(FIND("素-",第二週!$M$54),0)=1,"",第二週!$M$54),IF(OR(第二週!$M$55=0,IFERROR(FIND("素-",第二週!$M$55),0)=1),"",","),IF(IFERROR(FIND("素-",第二週!$M$55),0)=1,"",第二週!$M$55))</f>
        <v>港西6/11(二) 五六年級校外教學 學生減25葷1素.老師減2葷</v>
      </c>
      <c r="F22" s="21" t="str">
        <f>_xlfn.CONCAT(IF(IFERROR(FIND("素-",第二週!$M$94),0)=1,"",第二週!$M$94),IF(OR(第二週!$M$95=0,IFERROR(FIND("素-",第二週!$M$95),0)=1),"",","),IF(IFERROR(FIND("素-",第二週!$M$95),0)=1,"",第二週!$M$95),IF(OR(第二週!$M$96=0,IFERROR(FIND("素-",第二週!$M$96),0)=1),"",","),IF(IFERROR(FIND("素-",第二週!$M$96),0)=1,"",第二週!$M$96),IF(OR(第二週!$M$97=0,IFERROR(FIND("素-",第二週!$M$97),0)=1),"",","),IF(IFERROR(FIND("素-",第二週!$M$97),0)=1,"",第二週!$M$97),IF(OR(第二週!$M$98=0,IFERROR(FIND("素-",第二週!$M$98),0)=1),"",","),IF(IFERROR(FIND("素-",第二週!$M$98),0)=1,"",第二週!$M$98),IF(OR(第二週!$M$99=0,IFERROR(FIND("素-",第二週!$M$99),0)=1),"",","),IF(IFERROR(FIND("素-",第二週!$M$99),0)=1,"",第二週!$M$99),IF(OR(第二週!$M$100=0,IFERROR(FIND("素-",第二週!$M$100),0)=1),"",","),IF(IFERROR(FIND("素-",第二週!$M$100),0)=1,"",第二週!$M$100))</f>
        <v>冷凍青花菜,紅甜椒,黃甜椒,生香菇,木耳</v>
      </c>
      <c r="G22" s="21" t="str">
        <f>_xlfn.CONCAT(IF(IFERROR(FIND("素-",第二週!$M$109),0)=1,"",第二週!$M$109),IF(OR(第二週!$M$110=0,IFERROR(FIND("素-",第二週!$M$110),0)=1),"",","),IF(IFERROR(FIND("素-",第二週!$M$110),0)=1,"",第二週!$M$110),IF(OR(第二週!$M$111=0,IFERROR(FIND("素-",第二週!$M$111),0)=1),"",","),IF(IFERROR(FIND("素-",第二週!$M$111),0)=1,"",第二週!$M$111),IF(OR(第二週!$M$112=0,IFERROR(FIND("素-",第二週!$M$112),0)=1),"",","),IF(IFERROR(FIND("素-",第二週!$M$112),0)=1,"",第二週!$M$112),IF(OR(第二週!$M$113=0,IFERROR(FIND("素-",第二週!$M$113),0)=1),"",","),IF(IFERROR(FIND("素-",第二週!$M$113),0)=1,"",第二週!$M$113),IF(OR(第二週!$M$114=0,IFERROR(FIND("素-",第二週!$M$114),0)=1),"",","),IF(IFERROR(FIND("素-",第二週!$M$114),0)=1,"",第二週!$M$114),IF(OR(第二週!$M$115=0,IFERROR(FIND("素-",第二週!$M$115),0)=1),"",","),IF(IFERROR(FIND("素-",第二週!$M$115),0)=1,"",第二週!$M$115))</f>
        <v>大白菜,冷凍芋頭丁,生香菇</v>
      </c>
      <c r="H22" s="21" t="str">
        <f>_xlfn.CONCAT(IF(IFERROR(FIND("素-",第二週!$M$199),0)=1,"",第二週!$M$199),IF(OR(第二週!$M$200=0,IFERROR(FIND("素-",第二週!$M$200),0)=1),"",","),IF(IFERROR(FIND("素-",第二週!$M$200),0)=1,"",第二週!$M$200),IF(OR(第二週!$M$201=0,IFERROR(FIND("素-",第二週!$M$201),0)=1),"",","),IF(IFERROR(FIND("素-",第二週!$M$201),0)=1,"",第二週!$M$201),IF(OR(第二週!$M$202=0,IFERROR(FIND("素-",第二週!$M$202),0)=1),"",","),IF(IFERROR(FIND("素-",第二週!$M$202),0)=1,"",第二週!$M$202),IF(OR(第二週!$M$203=0,IFERROR(FIND("素-",第二週!$M$203),0)=1),"",","),IF(IFERROR(FIND("素-",第二週!$M$203),0)=1,"",第二週!$M$203),IF(OR(第二週!$M$204=0,IFERROR(FIND("素-",第二週!$M$204),0)=1),"",","),IF(IFERROR(FIND("素-",第二週!$M$204),0)=1,"",第二週!$M$204),IF(OR(第二週!$M$205=0,IFERROR(FIND("素-",第二週!$M$205),0)=1),"",","),IF(IFERROR(FIND("素-",第二週!$M$205),0)=1,"",第二週!$M$205),IF(OR(第二週!$M$206=0,IFERROR(FIND("素-",第二週!$M$206),0)=1),"",","),IF(IFERROR(FIND("素-",第二週!$M$206),0)=1,"",第二週!$M$206))</f>
        <v>白蘿蔔,胡蘿蔔,中排</v>
      </c>
      <c r="I22" s="474"/>
      <c r="J22" s="482"/>
      <c r="K22" s="482"/>
      <c r="L22" s="489"/>
      <c r="M22" s="489"/>
      <c r="N22" s="489"/>
      <c r="O22" s="489"/>
      <c r="P22" s="489"/>
      <c r="Q22" s="489"/>
      <c r="R22" s="491"/>
    </row>
    <row r="23" spans="1:18" ht="49.9" customHeight="1">
      <c r="A23" s="475">
        <f>IF(第二週!$Q$2=0,"",第二週!$Q$2)</f>
        <v>45455</v>
      </c>
      <c r="B23" s="477" t="s">
        <v>24</v>
      </c>
      <c r="C23" s="479" t="str">
        <f>IF(第二週!$Q$4=0,"",第二週!$Q$4)</f>
        <v>螺旋麵</v>
      </c>
      <c r="D23" s="81" t="str">
        <f>IF(第二週!$Q$34=0,"",第二週!$Q$34)</f>
        <v>茄汁義大利麵</v>
      </c>
      <c r="E23" s="81" t="str">
        <f>IF(第二週!$Q$49=0,"",第二週!$Q$49)</f>
        <v>奶皇包</v>
      </c>
      <c r="F23" s="82"/>
      <c r="G23" s="82" t="str">
        <f>IF(第二週!$Q$109=0,"",第二週!$Q$109)</f>
        <v>風味四季豆</v>
      </c>
      <c r="H23" s="82" t="str">
        <f>IF(第二週!$Q$199=0,"",第二週!$Q$199)</f>
        <v>玉米濃湯</v>
      </c>
      <c r="I23" s="473" t="str">
        <f>IF(第二週!$Q$184=0,"",第二週!$Q$184)</f>
        <v>清炒時蔬</v>
      </c>
      <c r="J23" s="481" t="str">
        <f>IF(第二週!$Q$214=0,"",第二週!$Q$214)</f>
        <v>水果</v>
      </c>
      <c r="K23" s="481" t="str">
        <f>IF(第二週!$Q$234=0,"",第二週!$Q$234)</f>
        <v/>
      </c>
      <c r="L23" s="488">
        <f>_xlfn.IFS(菜單總表!L23&lt;4.5,4.5,5.5&lt;菜單總表!L23,5.5,AND(4.5&lt;菜單總表!L23,菜單總表!L23&lt;5.7),菜單總表!L23)</f>
        <v>4.5</v>
      </c>
      <c r="M23" s="488">
        <f>_xlfn.IFS(菜單總表!M23&lt;2.1,2,3&lt;菜單總表!M23,3,AND(2.1&lt;菜單總表!M23,菜單總表!M23&lt;3),菜單總表!M23)</f>
        <v>2</v>
      </c>
      <c r="N23" s="488">
        <f>IF(菜單總表!N23&lt;1.5,1.5+菜單總表!N23/30,菜單總表!N23)</f>
        <v>1.5</v>
      </c>
      <c r="O23" s="488">
        <f>菜單總表!O23</f>
        <v>2.2999999999999998</v>
      </c>
      <c r="P23" s="488">
        <f>IFERROR(SUMPRODUCT(第二週!$T$4:$T$259,第二週!$BE$4:$BE$259)/第二週!$T$2,"")</f>
        <v>0</v>
      </c>
      <c r="Q23" s="488">
        <f>IFERROR(SUMPRODUCT(第二週!$T$4:$T$259,第二週!$BF$4:$BF$259)/第二週!$T$2,"")</f>
        <v>0</v>
      </c>
      <c r="R23" s="490">
        <f>IFERROR(L23*70+M23*75+N23*25+O23*45+P23*60+Q23*150,"")</f>
        <v>606</v>
      </c>
    </row>
    <row r="24" spans="1:18" s="22" customFormat="1" ht="25.15" customHeight="1">
      <c r="A24" s="476"/>
      <c r="B24" s="478"/>
      <c r="C24" s="480"/>
      <c r="D24" s="21" t="e">
        <f>_xlfn.CONCAT(IF(IFERROR(FIND("素-",第二週!$R$34),0)=1,"",第二週!$R$34),IF(OR(第二週!$R$35=0,IFERROR(FIND("素-",第二週!$R$35),0)=1),"",","),IF(IFERROR(FIND("素-",第二週!$R$35),0)=1,"",第二週!$R$35),IF(OR(第二週!$R$36=0,IFERROR(FIND("素-",第二週!$R$36),0)=1),"",","),IF(IFERROR(FIND("素-",第二週!$R$36),0)=1,"",第二週!$R$36),IF(OR(第二週!$R$37=0,IFERROR(FIND("素-",第二週!$R$37),0)=1),"",","),IF(IFERROR(FIND("素-",第二週!$R$37),0)=1,"",第二週!$R$37),IF(OR(第二週!$R$38=0,IFERROR(FIND("素-",第二週!$R$38),0)=1),"",","),IF(IFERROR(FIND("素-",第二週!$R$38),0)=1,"",第二週!$R$38),IF(OR(第二週!#REF!=0,IFERROR(FIND("素-",第二週!#REF!),0)=1),"",","),IF(IFERROR(FIND("素-",第二週!#REF!),0)=1,"",第二週!#REF!),IF(OR(第二週!$R$40=0,IFERROR(FIND("素-",第二週!$R$40),0)=1),"",","),IF(IFERROR(FIND("素-",第二週!$R$40),0)=1,"",第二週!$R$40),IF(OR(第二週!$R$39=0,IFERROR(FIND("素-",第二週!$R$39),0)=1),"",","),IF(IFERROR(FIND("素-",第二週!$R$39),0)=1,"",第二週!$R$39),IF(OR(第二週!$R$42=0,IFERROR(FIND("素-",第二週!$R$42),0)=1),"",","),IF(IFERROR(FIND("素-",第二週!$R$42),0)=1,"",第二週!$R$42))</f>
        <v>#REF!</v>
      </c>
      <c r="E24" s="21" t="str">
        <f>_xlfn.CONCAT(IF(IFERROR(FIND("素-",第二週!$R$49),0)=1,"",第二週!$R$49),IF(OR(第二週!$R$50=0,IFERROR(FIND("素-",第二週!$R$50),0)=1),"",","),IF(IFERROR(FIND("素-",第二週!$R$50),0)=1,"",第二週!$R$50),IF(OR(第二週!$R$51=0,IFERROR(FIND("素-",第二週!$R$51),0)=1),"",","),IF(IFERROR(FIND("素-",第二週!$R$51),0)=1,"",第二週!$R$51),IF(OR(第二週!$R$52=0,IFERROR(FIND("素-",第二週!$R$52),0)=1),"",","),IF(IFERROR(FIND("素-",第二週!$R$52),0)=1,"",第二週!$R$52),IF(OR(第二週!$R$53=0,IFERROR(FIND("素-",第二週!$R$53),0)=1),"",","),IF(IFERROR(FIND("素-",第二週!$R$53),0)=1,"",第二週!$R$53),IF(OR(第二週!$R$54=0,IFERROR(FIND("素-",第二週!$R$54),0)=1),"",","),IF(IFERROR(FIND("素-",第二週!$R$54),0)=1,"",第二週!$R$54),IF(OR(第二週!$R$55=0,IFERROR(FIND("素-",第二週!$R$55),0)=1),"",","),IF(IFERROR(FIND("素-",第二週!$R$55),0)=1,"",第二週!$R$55))</f>
        <v>奶皇包</v>
      </c>
      <c r="F24" s="21"/>
      <c r="G24" s="21" t="str">
        <f>_xlfn.CONCAT(IF(IFERROR(FIND("素-",第二週!$R$109),0)=1,"",第二週!$R$109),IF(OR(第二週!$R$110=0,IFERROR(FIND("素-",第二週!$R$110),0)=1),"",","),IF(IFERROR(FIND("素-",第二週!$R$110),0)=1,"",第二週!$R$110),IF(OR(第二週!$R$111=0,IFERROR(FIND("素-",第二週!$R$111),0)=1),"",","),IF(IFERROR(FIND("素-",第二週!$R$111),0)=1,"",第二週!$R$111),IF(OR(第二週!$R$112=0,IFERROR(FIND("素-",第二週!$R$112),0)=1),"",","),IF(IFERROR(FIND("素-",第二週!$R$112),0)=1,"",第二週!$R$112),IF(OR(第二週!$R$113=0,IFERROR(FIND("素-",第二週!$R$113),0)=1),"",","),IF(IFERROR(FIND("素-",第二週!$R$113),0)=1,"",第二週!$R$113),IF(OR(第二週!$R$114=0,IFERROR(FIND("素-",第二週!$R$114),0)=1),"",","),IF(IFERROR(FIND("素-",第二週!$R$114),0)=1,"",第二週!$R$114),IF(OR(第二週!$R$115=0,IFERROR(FIND("素-",第二週!$R$115),0)=1),"",","),IF(IFERROR(FIND("素-",第二週!$R$115),0)=1,"",第二週!$R$115))</f>
        <v>冷凍四季豆,大蒜,豬絞肉</v>
      </c>
      <c r="H24" s="21" t="str">
        <f>_xlfn.CONCAT(IF(IFERROR(FIND("素-",第二週!$R$199),0)=1,"",第二週!$R$199),IF(OR(第二週!$R$200=0,IFERROR(FIND("素-",第二週!$R$200),0)=1),"",","),IF(IFERROR(FIND("素-",第二週!$R$200),0)=1,"",第二週!$R$200),IF(OR(第二週!$R$201=0,IFERROR(FIND("素-",第二週!$R$201),0)=1),"",","),IF(IFERROR(FIND("素-",第二週!$R$201),0)=1,"",第二週!$R$201),IF(OR(第二週!$R$202=0,IFERROR(FIND("素-",第二週!$R$202),0)=1),"",","),IF(IFERROR(FIND("素-",第二週!$R$202),0)=1,"",第二週!$R$202),IF(OR(第二週!$R$203=0,IFERROR(FIND("素-",第二週!$R$203),0)=1),"",","),IF(IFERROR(FIND("素-",第二週!$R$203),0)=1,"",第二週!$R$203),IF(OR(第二週!$R$204=0,IFERROR(FIND("素-",第二週!$R$204),0)=1),"",","),IF(IFERROR(FIND("素-",第二週!$R$204),0)=1,"",第二週!$R$204),IF(OR(第二週!$R$205=0,IFERROR(FIND("素-",第二週!$R$205),0)=1),"",","),IF(IFERROR(FIND("素-",第二週!$R$205),0)=1,"",第二週!$R$205),IF(OR(第二週!$R$206=0,IFERROR(FIND("素-",第二週!$R$206),0)=1),"",","),IF(IFERROR(FIND("素-",第二週!$R$206),0)=1,"",第二週!$R$206))</f>
        <v>冷凍玉米粒,冷凍洋芋丁,雞蛋,全脂奶粉</v>
      </c>
      <c r="I24" s="474"/>
      <c r="J24" s="482"/>
      <c r="K24" s="482"/>
      <c r="L24" s="489"/>
      <c r="M24" s="489"/>
      <c r="N24" s="489"/>
      <c r="O24" s="489"/>
      <c r="P24" s="489"/>
      <c r="Q24" s="489"/>
      <c r="R24" s="491"/>
    </row>
    <row r="25" spans="1:18" ht="49.9" customHeight="1">
      <c r="A25" s="475">
        <f>IF(第二週!$V$2=0,"",第二週!$V$2)</f>
        <v>45456</v>
      </c>
      <c r="B25" s="477" t="s">
        <v>25</v>
      </c>
      <c r="C25" s="479" t="str">
        <f>IF(第二週!$V$4=0,"",第二週!$V$4)</f>
        <v>麥片飯</v>
      </c>
      <c r="D25" s="81" t="str">
        <f>IF(第二週!$V$34=0,"",第二週!$V$34)</f>
        <v>蔥油雞</v>
      </c>
      <c r="E25" s="81" t="str">
        <f>IF(第二週!$V$49=0,"",第二週!$V$49)</f>
        <v/>
      </c>
      <c r="F25" s="82" t="str">
        <f>IF(第二週!$V$94=0,"",第二週!$V$94)</f>
        <v>綜合滷味</v>
      </c>
      <c r="G25" s="82" t="str">
        <f>IF(第二週!$V$109=0,"",第二週!$V$109)</f>
        <v>客家小炒</v>
      </c>
      <c r="H25" s="82" t="str">
        <f>IF(第二週!$V$199=0,"",第二週!$V$199)</f>
        <v>香菇竹筍湯</v>
      </c>
      <c r="I25" s="473" t="str">
        <f>IF(第二週!$V$184=0,"",第二週!$V$184)</f>
        <v>清炒時蔬</v>
      </c>
      <c r="J25" s="481" t="str">
        <f>IF(第二週!$V$214=0,"",第二週!$V$214)</f>
        <v>牛奶</v>
      </c>
      <c r="K25" s="481" t="str">
        <f>IF(第二週!$V$234=0,"",第二週!$V$234)</f>
        <v/>
      </c>
      <c r="L25" s="488">
        <f>_xlfn.IFS(菜單總表!L25&lt;4.5,4.5,5.5&lt;菜單總表!L25,5.5,AND(4.5&lt;菜單總表!L25,菜單總表!L25&lt;5.7),菜單總表!L25)</f>
        <v>4.5</v>
      </c>
      <c r="M25" s="488">
        <f>_xlfn.IFS(菜單總表!M25&lt;2.1,2,3&lt;菜單總表!M25,3,AND(2.1&lt;菜單總表!M25,菜單總表!M25&lt;3),菜單總表!M25)</f>
        <v>2</v>
      </c>
      <c r="N25" s="488">
        <f>IF(菜單總表!N25&lt;1.5,1.5+菜單總表!N25/30,菜單總表!N25)</f>
        <v>1.5</v>
      </c>
      <c r="O25" s="488">
        <f>菜單總表!O25</f>
        <v>2.2999999999999998</v>
      </c>
      <c r="P25" s="488">
        <f>IFERROR(SUMPRODUCT(第二週!$Y$4:$Y$259,第二週!$BL$4:$BL$259)/第二週!$Y$2,"")</f>
        <v>0</v>
      </c>
      <c r="Q25" s="488">
        <f>IFERROR(SUMPRODUCT(第二週!$Y$4:$Y$259,第二週!$BM$4:$BM$259)/第二週!$Y$2,"")</f>
        <v>0</v>
      </c>
      <c r="R25" s="490">
        <f>IFERROR(L25*70+M25*75+N25*25+O25*45+P25*60+Q25*150,"")</f>
        <v>606</v>
      </c>
    </row>
    <row r="26" spans="1:18" s="22" customFormat="1" ht="25.15" customHeight="1">
      <c r="A26" s="476"/>
      <c r="B26" s="478"/>
      <c r="C26" s="480"/>
      <c r="D26" s="21" t="str">
        <f>_xlfn.CONCAT(IF(IFERROR(FIND("素-",第二週!$W$34),0)=1,"",第二週!$W$34),IF(OR(第二週!$W$35=0,IFERROR(FIND("素-",第二週!$W$35),0)=1),"",","),IF(IFERROR(FIND("素-",第二週!$W$35),0)=1,"",第二週!$W$35),IF(OR(第二週!$W$36=0,IFERROR(FIND("素-",第二週!$W$36),0)=1),"",","),IF(IFERROR(FIND("素-",第二週!$W$36),0)=1,"",第二週!$W$36),IF(OR(第二週!$W$37=0,IFERROR(FIND("素-",第二週!$W$37),0)=1),"",","),IF(IFERROR(FIND("素-",第二週!$W$37),0)=1,"",第二週!$W$37),IF(OR(第二週!$W$38=0,IFERROR(FIND("素-",第二週!$W$38),0)=1),"",","),IF(IFERROR(FIND("素-",第二週!$W$38),0)=1,"",第二週!$W$38),IF(OR(第二週!$W$39=0,IFERROR(FIND("素-",第二週!$W$39),0)=1),"",","),IF(IFERROR(FIND("素-",第二週!$W$39),0)=1,"",第二週!$W$39),IF(OR(第二週!$W$40=0,IFERROR(FIND("素-",第二週!$W$40),0)=1),"",","),IF(IFERROR(FIND("素-",第二週!$W$40),0)=1,"",第二週!$W$40),IF(OR(第二週!$W$41=0,IFERROR(FIND("素-",第二週!$W$41),0)=1),"",","),IF(IFERROR(FIND("素-",第二週!$W$41),0)=1,"",第二週!$W$41),IF(OR(第二週!$W$42=0,IFERROR(FIND("素-",第二週!$W$42),0)=1),"",","),IF(IFERROR(FIND("素-",第二週!$W$42),0)=1,"",第二週!$W$42))</f>
        <v>骨腿,雞清胸肉,白蘿蔔,青蔥</v>
      </c>
      <c r="E26" s="21" t="str">
        <f>_xlfn.CONCAT(IF(IFERROR(FIND("素-",第二週!$W$49),0)=1,"",第二週!$W$49),IF(OR(第二週!$W$50=0,IFERROR(FIND("素-",第二週!$W$50),0)=1),"",","),IF(IFERROR(FIND("素-",第二週!$W$50),0)=1,"",第二週!$W$50),IF(OR(第二週!$W$51=0,IFERROR(FIND("素-",第二週!$W$51),0)=1),"",","),IF(IFERROR(FIND("素-",第二週!$W$51),0)=1,"",第二週!$W$51),IF(OR(第二週!$W$52=0,IFERROR(FIND("素-",第二週!$W$52),0)=1),"",","),IF(IFERROR(FIND("素-",第二週!$W$52),0)=1,"",第二週!$W$52),IF(OR(第二週!$W$53=0,IFERROR(FIND("素-",第二週!$W$53),0)=1),"",","),IF(IFERROR(FIND("素-",第二週!$W$53),0)=1,"",第二週!$W$53),IF(OR(第二週!$W$54=0,IFERROR(FIND("素-",第二週!$W$54),0)=1),"",","),IF(IFERROR(FIND("素-",第二週!$W$54),0)=1,"",第二週!$W$54),IF(OR(第二週!$W$55=0,IFERROR(FIND("素-",第二週!$W$55),0)=1),"",","),IF(IFERROR(FIND("素-",第二週!$W$55),0)=1,"",第二週!$W$55))</f>
        <v/>
      </c>
      <c r="F26" s="21" t="str">
        <f>_xlfn.CONCAT(IF(IFERROR(FIND("素-",第二週!$W$94),0)=1,"",第二週!$W$94),IF(OR(第二週!$W$95=0,IFERROR(FIND("素-",第二週!$W$95),0)=1),"",","),IF(IFERROR(FIND("素-",第二週!$W$95),0)=1,"",第二週!$W$95),IF(OR(第二週!$W$96=0,IFERROR(FIND("素-",第二週!$W$96),0)=1),"",","),IF(IFERROR(FIND("素-",第二週!$W$96),0)=1,"",第二週!$W$96),IF(OR(第二週!$W$97=0,IFERROR(FIND("素-",第二週!$W$97),0)=1),"",","),IF(IFERROR(FIND("素-",第二週!$W$97),0)=1,"",第二週!$W$97),IF(OR(第二週!$W$98=0,IFERROR(FIND("素-",第二週!$W$98),0)=1),"",","),IF(IFERROR(FIND("素-",第二週!$W$98),0)=1,"",第二週!$W$98),IF(OR(第二週!$W$99=0,IFERROR(FIND("素-",第二週!$W$99),0)=1),"",","),IF(IFERROR(FIND("素-",第二週!$W$99),0)=1,"",第二週!$W$99),IF(OR(第二週!$W$100=0,IFERROR(FIND("素-",第二週!$W$100),0)=1),"",","),IF(IFERROR(FIND("素-",第二週!$W$100),0)=1,"",第二週!$W$100))</f>
        <v>杏鮑菇,小三角油豆腐,白蘿蔔,海帶結</v>
      </c>
      <c r="G26" s="21" t="str">
        <f>_xlfn.CONCAT(IF(IFERROR(FIND("素-",第二週!$W$109),0)=1,"",第二週!$W$109),IF(OR(第二週!$W$110=0,IFERROR(FIND("素-",第二週!$W$110),0)=1),"",","),IF(IFERROR(FIND("素-",第二週!$W$110),0)=1,"",第二週!$W$110),IF(OR(第二週!$W$111=0,IFERROR(FIND("素-",第二週!$W$111),0)=1),"",","),IF(IFERROR(FIND("素-",第二週!$W$111),0)=1,"",第二週!$W$111),IF(OR(第二週!$W$112=0,IFERROR(FIND("素-",第二週!$W$112),0)=1),"",","),IF(IFERROR(FIND("素-",第二週!$W$112),0)=1,"",第二週!$W$112),IF(OR(第二週!$W$113=0,IFERROR(FIND("素-",第二週!$W$113),0)=1),"",","),IF(IFERROR(FIND("素-",第二週!$W$113),0)=1,"",第二週!$W$113),IF(OR(第二週!$W$114=0,IFERROR(FIND("素-",第二週!$W$114),0)=1),"",","),IF(IFERROR(FIND("素-",第二週!$W$114),0)=1,"",第二週!$W$114),IF(OR(第二週!$W$115=0,IFERROR(FIND("素-",第二週!$W$115),0)=1),"",","),IF(IFERROR(FIND("素-",第二週!$W$115),0)=1,"",第二週!$W$115))</f>
        <v>黃豆干,芹菜,豬前腿肉,魷魚短絲</v>
      </c>
      <c r="H26" s="21" t="str">
        <f>_xlfn.CONCAT(IF(IFERROR(FIND("素-",第二週!$W$199),0)=1,"",第二週!$W$199),IF(OR(第二週!$W$200=0,IFERROR(FIND("素-",第二週!$W$200),0)=1),"",","),IF(IFERROR(FIND("素-",第二週!$W$200),0)=1,"",第二週!$W$200),IF(OR(第二週!$W$201=0,IFERROR(FIND("素-",第二週!$W$201),0)=1),"",","),IF(IFERROR(FIND("素-",第二週!$W$201),0)=1,"",第二週!$W$201),IF(OR(第二週!$W$202=0,IFERROR(FIND("素-",第二週!$W$202),0)=1),"",","),IF(IFERROR(FIND("素-",第二週!$W$202),0)=1,"",第二週!$W$202),IF(OR(第二週!$W$203=0,IFERROR(FIND("素-",第二週!$W$203),0)=1),"",","),IF(IFERROR(FIND("素-",第二週!$W$203),0)=1,"",第二週!$W$203),IF(OR(第二週!$W$204=0,IFERROR(FIND("素-",第二週!$W$204),0)=1),"",","),IF(IFERROR(FIND("素-",第二週!$W$204),0)=1,"",第二週!$W$204),IF(OR(第二週!$W$205=0,IFERROR(FIND("素-",第二週!$W$205),0)=1),"",","),IF(IFERROR(FIND("素-",第二週!$W$205),0)=1,"",第二週!$W$205),IF(OR(第二週!$W$206=0,IFERROR(FIND("素-",第二週!$W$206),0)=1),"",","),IF(IFERROR(FIND("素-",第二週!$W$206),0)=1,"",第二週!$W$206))</f>
        <v>乾香菇,脆筍片,大骨</v>
      </c>
      <c r="I26" s="474"/>
      <c r="J26" s="482"/>
      <c r="K26" s="482"/>
      <c r="L26" s="489"/>
      <c r="M26" s="489"/>
      <c r="N26" s="489"/>
      <c r="O26" s="489"/>
      <c r="P26" s="489"/>
      <c r="Q26" s="489"/>
      <c r="R26" s="491"/>
    </row>
    <row r="27" spans="1:18" ht="49.9" customHeight="1">
      <c r="A27" s="475">
        <f>IF(第二週!$AA$2=0,"",第二週!$AA$2)</f>
        <v>45457</v>
      </c>
      <c r="B27" s="477" t="s">
        <v>37</v>
      </c>
      <c r="C27" s="479" t="str">
        <f>IF(第二週!$AA$4=0,"",第二週!$AA$4)</f>
        <v>白飯</v>
      </c>
      <c r="D27" s="81" t="str">
        <f>IF(第二週!$AA$34=0,"",第二週!$AA$34)</f>
        <v>蒙古炒肉</v>
      </c>
      <c r="E27" s="81" t="str">
        <f>IF(第二週!$AA$49=0,"",第二週!$AA$49)</f>
        <v/>
      </c>
      <c r="F27" s="82" t="str">
        <f>IF(第二週!$AA$94=0,"",第二週!$AA$94)</f>
        <v>洋芋玉米蛋</v>
      </c>
      <c r="G27" s="82" t="str">
        <f>IF(第二週!$AA$109=0,"",第二週!$AA$109)</f>
        <v>塔香海根</v>
      </c>
      <c r="H27" s="82" t="str">
        <f>IF(第二週!$AA$199=0,"",第二週!$AA$199)</f>
        <v>鮮菇冬瓜湯</v>
      </c>
      <c r="I27" s="473" t="str">
        <f>IF(第二週!$AA$184=0,"",第二週!$AA$184)</f>
        <v>清炒時蔬</v>
      </c>
      <c r="J27" s="481" t="str">
        <f>IF(第二週!$AA$214=0,"",第二週!$AA$214)</f>
        <v>水果</v>
      </c>
      <c r="K27" s="481" t="str">
        <f>IF(第二週!$AA$234=0,"",第二週!$AA$234)</f>
        <v/>
      </c>
      <c r="L27" s="488">
        <f>_xlfn.IFS(菜單總表!L27&lt;4.5,4.5,5.5&lt;菜單總表!L27,5.5,AND(4.5&lt;菜單總表!L27,菜單總表!L27&lt;5.7),菜單總表!L27)</f>
        <v>4.5</v>
      </c>
      <c r="M27" s="488">
        <f>_xlfn.IFS(菜單總表!M27&lt;2.1,2,3&lt;菜單總表!M27,3,AND(2.1&lt;菜單總表!M27,菜單總表!M27&lt;3),菜單總表!M27)</f>
        <v>2</v>
      </c>
      <c r="N27" s="488">
        <f>IF(菜單總表!N27&lt;1.5,1.5+菜單總表!N27/30,菜單總表!N27)</f>
        <v>1.5</v>
      </c>
      <c r="O27" s="488">
        <f>菜單總表!O27</f>
        <v>2.2999999999999998</v>
      </c>
      <c r="P27" s="488">
        <f>IFERROR(SUMPRODUCT(第二週!$AD$4:$AD$259,第二週!$BS$4:$BS$259)/第二週!$AD$2,"")</f>
        <v>0</v>
      </c>
      <c r="Q27" s="488">
        <f>IFERROR(SUMPRODUCT(第二週!$AD$4:$AD$259,第二週!$BT$4:$BT$259)/第二週!$AD$2,"")</f>
        <v>0</v>
      </c>
      <c r="R27" s="490">
        <f>IFERROR(L27*70+M27*75+N27*25+O27*45+P27*60+Q27*150,"")</f>
        <v>606</v>
      </c>
    </row>
    <row r="28" spans="1:18" s="22" customFormat="1" ht="25.15" customHeight="1">
      <c r="A28" s="476"/>
      <c r="B28" s="478"/>
      <c r="C28" s="480"/>
      <c r="D28" s="21" t="str">
        <f>_xlfn.CONCAT(IF(IFERROR(FIND("素-",第二週!$AB$34),0)=1,"",第二週!$AB$34),IF(OR(第二週!$AB$35=0,IFERROR(FIND("素-",第二週!$AB$35),0)=1),"",","),IF(IFERROR(FIND("素-",第二週!$AB$35),0)=1,"",第二週!$AB$35),IF(OR(第二週!$AB$36=0,IFERROR(FIND("素-",第二週!$AB$36),0)=1),"",","),IF(IFERROR(FIND("素-",第二週!$AB$36),0)=1,"",第二週!$AB$36),IF(OR(第二週!$AB$37=0,IFERROR(FIND("素-",第二週!$AB$37),0)=1),"",","),IF(IFERROR(FIND("素-",第二週!$AB$37),0)=1,"",第二週!$AB$37),IF(OR(第二週!$AB$38=0,IFERROR(FIND("素-",第二週!$AB$38),0)=1),"",","),IF(IFERROR(FIND("素-",第二週!$AB$38),0)=1,"",第二週!$AB$38),IF(OR(第二週!$AB$39=0,IFERROR(FIND("素-",第二週!$AB$39),0)=1),"",","),IF(IFERROR(FIND("素-",第二週!$AB$39),0)=1,"",第二週!$AB$39),IF(OR(第二週!$AB$40=0,IFERROR(FIND("素-",第二週!$AB$40),0)=1),"",","),IF(IFERROR(FIND("素-",第二週!$AB$40),0)=1,"",第二週!$AB$40),IF(OR(第二週!$AB$41=0,IFERROR(FIND("素-",第二週!$AB$41),0)=1),"",","),IF(IFERROR(FIND("素-",第二週!$AB$41),0)=1,"",第二週!$AB$41),IF(OR(第二週!$AB$42=0,IFERROR(FIND("素-",第二週!$AB$42),0)=1),"",","),IF(IFERROR(FIND("素-",第二週!$AB$42),0)=1,"",第二週!$AB$42))</f>
        <v>豬前腿肉,黃豆干,高麗菜,綠豆芽,洋蔥,大蒜</v>
      </c>
      <c r="E28" s="21" t="str">
        <f>_xlfn.CONCAT(IF(IFERROR(FIND("素-",第二週!$AB$49),0)=1,"",第二週!$AB$49),IF(OR(第二週!$AB$50=0,IFERROR(FIND("素-",第二週!$AB$50),0)=1),"",","),IF(IFERROR(FIND("素-",第二週!$AB$50),0)=1,"",第二週!$AB$50),IF(OR(第二週!$AB$51=0,IFERROR(FIND("素-",第二週!$AB$51),0)=1),"",","),IF(IFERROR(FIND("素-",第二週!$AB$51),0)=1,"",第二週!$AB$51),IF(OR(第二週!$AB$52=0,IFERROR(FIND("素-",第二週!$AB$52),0)=1),"",","),IF(IFERROR(FIND("素-",第二週!$AB$52),0)=1,"",第二週!$AB$52),IF(OR(第二週!$AB$53=0,IFERROR(FIND("素-",第二週!$AB$53),0)=1),"",","),IF(IFERROR(FIND("素-",第二週!$AB$53),0)=1,"",第二週!$AB$53),IF(OR(第二週!$AB$54=0,IFERROR(FIND("素-",第二週!$AB$54),0)=1),"",","),IF(IFERROR(FIND("素-",第二週!$AB$54),0)=1,"",第二週!$AB$54),IF(OR(第二週!$AB$55=0,IFERROR(FIND("素-",第二週!$AB$55),0)=1),"",","),IF(IFERROR(FIND("素-",第二週!$AB$55),0)=1,"",第二週!$AB$55))</f>
        <v>安中6/14(五)505停餐(-20)</v>
      </c>
      <c r="F28" s="21" t="str">
        <f>_xlfn.CONCAT(IF(IFERROR(FIND("素-",第二週!$AB$94),0)=1,"",第二週!$AB$94),IF(OR(第二週!$AB$95=0,IFERROR(FIND("素-",第二週!$AB$95),0)=1),"",","),IF(IFERROR(FIND("素-",第二週!$AB$95),0)=1,"",第二週!$AB$95),IF(OR(第二週!$AB$96=0,IFERROR(FIND("素-",第二週!$AB$96),0)=1),"",","),IF(IFERROR(FIND("素-",第二週!$AB$96),0)=1,"",第二週!$AB$96),IF(OR(第二週!$AB$97=0,IFERROR(FIND("素-",第二週!$AB$97),0)=1),"",","),IF(IFERROR(FIND("素-",第二週!$AB$97),0)=1,"",第二週!$AB$97),IF(OR(第二週!$AB$98=0,IFERROR(FIND("素-",第二週!$AB$98),0)=1),"",","),IF(IFERROR(FIND("素-",第二週!$AB$98),0)=1,"",第二週!$AB$98),IF(OR(第二週!$AB$99=0,IFERROR(FIND("素-",第二週!$AB$99),0)=1),"",","),IF(IFERROR(FIND("素-",第二週!$AB$99),0)=1,"",第二週!$AB$99),IF(OR(第二週!$AB$100=0,IFERROR(FIND("素-",第二週!$AB$100),0)=1),"",","),IF(IFERROR(FIND("素-",第二週!$AB$100),0)=1,"",第二週!$AB$100))</f>
        <v>冷凍洋芋,冷凍玉米粒,雞蛋</v>
      </c>
      <c r="G28" s="21" t="str">
        <f>_xlfn.CONCAT(IF(IFERROR(FIND("素-",第二週!$AB$109),0)=1,"",第二週!$AB$109),IF(OR(第二週!$AB$110=0,IFERROR(FIND("素-",第二週!$AB$110),0)=1),"",","),IF(IFERROR(FIND("素-",第二週!$AB$110),0)=1,"",第二週!$AB$110),IF(OR(第二週!$AB$111=0,IFERROR(FIND("素-",第二週!$AB$111),0)=1),"",","),IF(IFERROR(FIND("素-",第二週!$AB$111),0)=1,"",第二週!$AB$111),IF(OR(第二週!$AB$112=0,IFERROR(FIND("素-",第二週!$AB$112),0)=1),"",","),IF(IFERROR(FIND("素-",第二週!$AB$112),0)=1,"",第二週!$AB$112),IF(OR(第二週!$AB$113=0,IFERROR(FIND("素-",第二週!$AB$113),0)=1),"",","),IF(IFERROR(FIND("素-",第二週!$AB$113),0)=1,"",第二週!$AB$113),IF(OR(第二週!$AB$114=0,IFERROR(FIND("素-",第二週!$AB$114),0)=1),"",","),IF(IFERROR(FIND("素-",第二週!$AB$114),0)=1,"",第二週!$AB$114),IF(OR(第二週!$AB$115=0,IFERROR(FIND("素-",第二週!$AB$115),0)=1),"",","),IF(IFERROR(FIND("素-",第二週!$AB$115),0)=1,"",第二週!$AB$115))</f>
        <v>海帶根,九層塔</v>
      </c>
      <c r="H28" s="21" t="str">
        <f>_xlfn.CONCAT(IF(IFERROR(FIND("素-",第二週!$AB$199),0)=1,"",第二週!$AB$199),IF(OR(第二週!$AB$200=0,IFERROR(FIND("素-",第二週!$AB$200),0)=1),"",","),IF(IFERROR(FIND("素-",第二週!$AB$200),0)=1,"",第二週!$AB$200),IF(OR(第二週!$AB$201=0,IFERROR(FIND("素-",第二週!$AB$201),0)=1),"",","),IF(IFERROR(FIND("素-",第二週!$AB$201),0)=1,"",第二週!$AB$201),IF(OR(第二週!$AB$202=0,IFERROR(FIND("素-",第二週!$AB$202),0)=1),"",","),IF(IFERROR(FIND("素-",第二週!$AB$202),0)=1,"",第二週!$AB$202),IF(OR(第二週!$AB$203=0,IFERROR(FIND("素-",第二週!$AB$203),0)=1),"",","),IF(IFERROR(FIND("素-",第二週!$AB$203),0)=1,"",第二週!$AB$203),IF(OR(第二週!$AB$204=0,IFERROR(FIND("素-",第二週!$AB$204),0)=1),"",","),IF(IFERROR(FIND("素-",第二週!$AB$204),0)=1,"",第二週!$AB$204),IF(OR(第二週!$AB$205=0,IFERROR(FIND("素-",第二週!$AB$205),0)=1),"",","),IF(IFERROR(FIND("素-",第二週!$AB$205),0)=1,"",第二週!$AB$205),IF(OR(第二週!$AB$206=0,IFERROR(FIND("素-",第二週!$AB$206),0)=1),"",","),IF(IFERROR(FIND("素-",第二週!$AB$206),0)=1,"",第二週!$AB$206))</f>
        <v>生香菇,冬瓜,大骨</v>
      </c>
      <c r="I28" s="474"/>
      <c r="J28" s="482"/>
      <c r="K28" s="482"/>
      <c r="L28" s="489"/>
      <c r="M28" s="489"/>
      <c r="N28" s="489"/>
      <c r="O28" s="489"/>
      <c r="P28" s="489"/>
      <c r="Q28" s="489"/>
      <c r="R28" s="491"/>
    </row>
    <row r="29" spans="1:18" ht="49.9" customHeight="1">
      <c r="A29" s="475" t="str">
        <f>IF(第二週!$AF$2=0,"",第二週!$AF$2)</f>
        <v/>
      </c>
      <c r="B29" s="477" t="s">
        <v>38</v>
      </c>
      <c r="C29" s="479" t="str">
        <f>IF(第二週!$AF$4=0,"",第二週!$AF$4)</f>
        <v>五穀飯</v>
      </c>
      <c r="D29" s="81" t="str">
        <f>IF(第二週!$AF$34=0,"",第二週!$AF$34)</f>
        <v/>
      </c>
      <c r="E29" s="81" t="str">
        <f>IF(第二週!$AF$49=0,"",第二週!$AF$49)</f>
        <v/>
      </c>
      <c r="F29" s="82" t="str">
        <f>IF(第二週!$AF$94=0,"",第二週!$AF$94)</f>
        <v/>
      </c>
      <c r="G29" s="82" t="str">
        <f>IF(第二週!$AF$109=0,"",第二週!$AF$109)</f>
        <v/>
      </c>
      <c r="H29" s="82" t="str">
        <f>IF(第二週!$AF$199=0,"",第二週!$AF$199)</f>
        <v/>
      </c>
      <c r="I29" s="473" t="str">
        <f>IF(第二週!$AF$184=0,"",第二週!$AF$184)</f>
        <v>清炒時蔬</v>
      </c>
      <c r="J29" s="481" t="str">
        <f>IF(第二週!$AF$214=0,"",第二週!$AF$214)</f>
        <v/>
      </c>
      <c r="K29" s="481" t="str">
        <f>IF(第二週!$AF$234=0,"",第二週!$AF$234)</f>
        <v/>
      </c>
      <c r="L29" s="488" t="str">
        <f>IF(菜單總表!L29&lt;4.4,4.4+菜單總表!L29/30,菜單總表!L29)</f>
        <v/>
      </c>
      <c r="M29" s="488" t="str">
        <f>IF(菜單總表!M29&lt;2.1,"2.0",菜單總表!M29)</f>
        <v/>
      </c>
      <c r="N29" s="488" t="str">
        <f>IFERROR(SUMPRODUCT(第二週!$AI$4:$AI$259,第二週!$BX$4:$BX$259)/第二週!$AI$2,"")</f>
        <v/>
      </c>
      <c r="O29" s="488" t="str">
        <f>IFERROR(SUMPRODUCT(第二週!$AI$4:$AI$259,第二週!$BY$4:$BY$259)/第二週!$AI$2+2.3,"")</f>
        <v/>
      </c>
      <c r="P29" s="488" t="str">
        <f>IFERROR(SUMPRODUCT(第二週!$AI$4:$AI$259,第二週!$BZ$4:$BZ$259)/第二週!$AI$2,"")</f>
        <v/>
      </c>
      <c r="Q29" s="488" t="str">
        <f>IFERROR(SUMPRODUCT(第二週!$AI$4:$AI$259,第二週!$CA$4:$CA$259)/第二週!$AI$2,"")</f>
        <v/>
      </c>
      <c r="R29" s="490" t="str">
        <f>IFERROR(L29*70+M29*75+N29*25+O29*45+P29*60+Q29*150,"")</f>
        <v/>
      </c>
    </row>
    <row r="30" spans="1:18" s="22" customFormat="1" ht="25.15" customHeight="1">
      <c r="A30" s="476"/>
      <c r="B30" s="478"/>
      <c r="C30" s="480"/>
      <c r="D30" s="21" t="str">
        <f>_xlfn.CONCAT(IF(IFERROR(FIND("素-",第二週!$AG$34),0)=1,"",第二週!$AG$34),IF(OR(第二週!$AG$35=0,IFERROR(FIND("素-",第二週!$AG$35),0)=1),"",","),IF(IFERROR(FIND("素-",第二週!$AG$35),0)=1,"",第二週!$AG$35),IF(OR(第二週!$AG$36=0,IFERROR(FIND("素-",第二週!$AG$36),0)=1),"",","),IF(IFERROR(FIND("素-",第二週!$AG$36),0)=1,"",第二週!$AG$36),IF(OR(第二週!$AG$37=0,IFERROR(FIND("素-",第二週!$AG$37),0)=1),"",","),IF(IFERROR(FIND("素-",第二週!$AG$37),0)=1,"",第二週!$AG$37),IF(OR(第二週!$AG$38=0,IFERROR(FIND("素-",第二週!$AG$38),0)=1),"",","),IF(IFERROR(FIND("素-",第二週!$AG$38),0)=1,"",第二週!$AG$38),IF(OR(第二週!$AG$39=0,IFERROR(FIND("素-",第二週!$AG$39),0)=1),"",","),IF(IFERROR(FIND("素-",第二週!$AG$39),0)=1,"",第二週!$AG$39),IF(OR(第二週!$AG$40=0,IFERROR(FIND("素-",第二週!$AG$40),0)=1),"",","),IF(IFERROR(FIND("素-",第二週!$AG$40),0)=1,"",第二週!$AG$40),IF(OR(第二週!$AG$41=0,IFERROR(FIND("素-",第二週!$AG$41),0)=1),"",","),IF(IFERROR(FIND("素-",第二週!$AG$41),0)=1,"",第二週!$AG$41),IF(OR(第二週!$AG$42=0,IFERROR(FIND("素-",第二週!$AG$42),0)=1),"",","),IF(IFERROR(FIND("素-",第二週!$AG$42),0)=1,"",第二週!$AG$42))</f>
        <v/>
      </c>
      <c r="E30" s="21" t="str">
        <f>_xlfn.CONCAT(IF(IFERROR(FIND("素-",第二週!$AG$49),0)=1,"",第二週!$AG$49),IF(OR(第二週!$AG$50=0,IFERROR(FIND("素-",第二週!$AG$50),0)=1),"",","),IF(IFERROR(FIND("素-",第二週!$AG$50),0)=1,"",第二週!$AG$50),IF(OR(第二週!$AG$51=0,IFERROR(FIND("素-",第二週!$AG$51),0)=1),"",","),IF(IFERROR(FIND("素-",第二週!$AG$51),0)=1,"",第二週!$AG$51),IF(OR(第二週!$AG$52=0,IFERROR(FIND("素-",第二週!$AG$52),0)=1),"",","),IF(IFERROR(FIND("素-",第二週!$AG$52),0)=1,"",第二週!$AG$52),IF(OR(第二週!$AG$53=0,IFERROR(FIND("素-",第二週!$AG$53),0)=1),"",","),IF(IFERROR(FIND("素-",第二週!$AG$53),0)=1,"",第二週!$AG$53),IF(OR(第二週!$AG$54=0,IFERROR(FIND("素-",第二週!$AG$54),0)=1),"",","),IF(IFERROR(FIND("素-",第二週!$AG$54),0)=1,"",第二週!$AG$54),IF(OR(第二週!$AG$55=0,IFERROR(FIND("素-",第二週!$AG$55),0)=1),"",","),IF(IFERROR(FIND("素-",第二週!$AG$55),0)=1,"",第二週!$AG$55))</f>
        <v/>
      </c>
      <c r="F30" s="21" t="str">
        <f>_xlfn.CONCAT(IF(IFERROR(FIND("素-",第二週!$AG$94),0)=1,"",第二週!$AG$94),IF(OR(第二週!$AG$95=0,IFERROR(FIND("素-",第二週!$AG$95),0)=1),"",","),IF(IFERROR(FIND("素-",第二週!$AG$95),0)=1,"",第二週!$AG$95),IF(OR(第二週!$AG$96=0,IFERROR(FIND("素-",第二週!$AG$96),0)=1),"",","),IF(IFERROR(FIND("素-",第二週!$AG$96),0)=1,"",第二週!$AG$96),IF(OR(第二週!$AG$97=0,IFERROR(FIND("素-",第二週!$AG$97),0)=1),"",","),IF(IFERROR(FIND("素-",第二週!$AG$97),0)=1,"",第二週!$AG$97),IF(OR(第二週!$AG$98=0,IFERROR(FIND("素-",第二週!$AG$98),0)=1),"",","),IF(IFERROR(FIND("素-",第二週!$AG$98),0)=1,"",第二週!$AG$98),IF(OR(第二週!$AG$99=0,IFERROR(FIND("素-",第二週!$AG$99),0)=1),"",","),IF(IFERROR(FIND("素-",第二週!$AG$99),0)=1,"",第二週!$AG$99),IF(OR(第二週!$AG$100=0,IFERROR(FIND("素-",第二週!$AG$100),0)=1),"",","),IF(IFERROR(FIND("素-",第二週!$AG$100),0)=1,"",第二週!$AG$100))</f>
        <v/>
      </c>
      <c r="G30" s="21" t="str">
        <f>_xlfn.CONCAT(IF(IFERROR(FIND("素-",第二週!$AG$109),0)=1,"",第二週!$AG$109),IF(OR(第二週!$AG$110=0,IFERROR(FIND("素-",第二週!$AG$110),0)=1),"",","),IF(IFERROR(FIND("素-",第二週!$AG$110),0)=1,"",第二週!$AG$110),IF(OR(第二週!$AG$111=0,IFERROR(FIND("素-",第二週!$AG$111),0)=1),"",","),IF(IFERROR(FIND("素-",第二週!$AG$111),0)=1,"",第二週!$AG$111),IF(OR(第二週!$AG$112=0,IFERROR(FIND("素-",第二週!$AG$112),0)=1),"",","),IF(IFERROR(FIND("素-",第二週!$AG$112),0)=1,"",第二週!$AG$112),IF(OR(第二週!$AG$113=0,IFERROR(FIND("素-",第二週!$AG$113),0)=1),"",","),IF(IFERROR(FIND("素-",第二週!$AG$113),0)=1,"",第二週!$AG$113),IF(OR(第二週!$AG$114=0,IFERROR(FIND("素-",第二週!$AG$114),0)=1),"",","),IF(IFERROR(FIND("素-",第二週!$AG$114),0)=1,"",第二週!$AG$114),IF(OR(第二週!$AG$115=0,IFERROR(FIND("素-",第二週!$AG$115),0)=1),"",","),IF(IFERROR(FIND("素-",第二週!$AG$115),0)=1,"",第二週!$AG$115))</f>
        <v/>
      </c>
      <c r="H30" s="21" t="str">
        <f>_xlfn.CONCAT(IF(IFERROR(FIND("素-",第二週!$AG$199),0)=1,"",第二週!$AG$199),IF(OR(第二週!$AG$200=0,IFERROR(FIND("素-",第二週!$AG$200),0)=1),"",","),IF(IFERROR(FIND("素-",第二週!$AG$200),0)=1,"",第二週!$AG$200),IF(OR(第二週!$AG$201=0,IFERROR(FIND("素-",第二週!$AG$201),0)=1),"",","),IF(IFERROR(FIND("素-",第二週!$AG$201),0)=1,"",第二週!$AG$201),IF(OR(第二週!$AG$202=0,IFERROR(FIND("素-",第二週!$AG$202),0)=1),"",","),IF(IFERROR(FIND("素-",第二週!$AG$202),0)=1,"",第二週!$AG$202),IF(OR(第二週!$AG$203=0,IFERROR(FIND("素-",第二週!$AG$203),0)=1),"",","),IF(IFERROR(FIND("素-",第二週!$AG$203),0)=1,"",第二週!$AG$203),IF(OR(第二週!$AG$204=0,IFERROR(FIND("素-",第二週!$AG$204),0)=1),"",","),IF(IFERROR(FIND("素-",第二週!$AG$204),0)=1,"",第二週!$AG$204),IF(OR(第二週!$AG$205=0,IFERROR(FIND("素-",第二週!$AG$205),0)=1),"",","),IF(IFERROR(FIND("素-",第二週!$AG$205),0)=1,"",第二週!$AG$205),IF(OR(第二週!$AG$206=0,IFERROR(FIND("素-",第二週!$AG$206),0)=1),"",","),IF(IFERROR(FIND("素-",第二週!$AG$206),0)=1,"",第二週!$AG$206))</f>
        <v/>
      </c>
      <c r="I30" s="474"/>
      <c r="J30" s="482"/>
      <c r="K30" s="482"/>
      <c r="L30" s="489"/>
      <c r="M30" s="489"/>
      <c r="N30" s="489"/>
      <c r="O30" s="489"/>
      <c r="P30" s="489"/>
      <c r="Q30" s="489"/>
      <c r="R30" s="491"/>
    </row>
    <row r="31" spans="1:18" ht="49.9" customHeight="1">
      <c r="A31" s="475"/>
      <c r="B31" s="477" t="s">
        <v>39</v>
      </c>
      <c r="C31" s="479"/>
      <c r="D31" s="81"/>
      <c r="E31" s="81"/>
      <c r="F31" s="81"/>
      <c r="G31" s="81"/>
      <c r="H31" s="81"/>
      <c r="I31" s="473"/>
      <c r="J31" s="481"/>
      <c r="K31" s="481"/>
      <c r="L31" s="492"/>
      <c r="M31" s="492"/>
      <c r="N31" s="492"/>
      <c r="O31" s="492"/>
      <c r="P31" s="492"/>
      <c r="Q31" s="492"/>
      <c r="R31" s="490"/>
    </row>
    <row r="32" spans="1:18" s="22" customFormat="1" ht="25.15" customHeight="1">
      <c r="A32" s="476"/>
      <c r="B32" s="478"/>
      <c r="C32" s="480"/>
      <c r="D32" s="21"/>
      <c r="E32" s="21"/>
      <c r="F32" s="21"/>
      <c r="G32" s="21"/>
      <c r="H32" s="21"/>
      <c r="I32" s="474"/>
      <c r="J32" s="482"/>
      <c r="K32" s="482"/>
      <c r="L32" s="493"/>
      <c r="M32" s="493"/>
      <c r="N32" s="493"/>
      <c r="O32" s="493"/>
      <c r="P32" s="493"/>
      <c r="Q32" s="493"/>
      <c r="R32" s="491"/>
    </row>
    <row r="33" spans="1:18" ht="49.9" customHeight="1">
      <c r="A33" s="475">
        <f>IF(第三週!$G$2=0,"",第三週!$G$2)</f>
        <v>45460</v>
      </c>
      <c r="B33" s="477" t="s">
        <v>22</v>
      </c>
      <c r="C33" s="479" t="str">
        <f>IF(第三週!$G$4=0,"",第三週!$G$4)</f>
        <v>白飯</v>
      </c>
      <c r="D33" s="81" t="str">
        <f>IF(第三週!$G$34=0,"",第三週!$G$34)</f>
        <v>油腐滷肉</v>
      </c>
      <c r="E33" s="81" t="str">
        <f>IF(第三週!$G$49=0,"",第三週!$G$49)</f>
        <v/>
      </c>
      <c r="F33" s="82" t="str">
        <f>IF(第三週!$G$94=0,"",第三週!$G$94)</f>
        <v>起司焗蔬</v>
      </c>
      <c r="G33" s="82" t="str">
        <f>IF(第三週!$G$109=0,"",第三週!$G$109)</f>
        <v>洋蔥炒蛋</v>
      </c>
      <c r="H33" s="82" t="str">
        <f>IF(第三週!$G$199=0,"",第三週!$G$199)</f>
        <v>鹹湯圓</v>
      </c>
      <c r="I33" s="473" t="str">
        <f>IF(第三週!$G$184=0,"",第三週!$G$184)</f>
        <v>清炒時蔬</v>
      </c>
      <c r="J33" s="481" t="str">
        <f>IF(第三週!$G$214=0,"",第三週!$G$214)</f>
        <v>果汁</v>
      </c>
      <c r="K33" s="481" t="str">
        <f>IF(第三週!$G$234=0,"",第三週!$G$234)</f>
        <v/>
      </c>
      <c r="L33" s="488">
        <f>_xlfn.IFS(菜單總表!L33&lt;4.5,4.5,5.5&lt;菜單總表!L33,5.5,AND(4.5&lt;菜單總表!L33,菜單總表!L33&lt;5.7),菜單總表!L33)</f>
        <v>4.5</v>
      </c>
      <c r="M33" s="488">
        <f>_xlfn.IFS(菜單總表!M33&lt;2.1,2,3&lt;菜單總表!M33,3,AND(2.1&lt;菜單總表!M33,菜單總表!M33&lt;3),菜單總表!M33)</f>
        <v>2</v>
      </c>
      <c r="N33" s="488">
        <f>IF(菜單總表!N33&lt;1.5,1.5+菜單總表!N33/30,菜單總表!N33)</f>
        <v>1.5</v>
      </c>
      <c r="O33" s="488">
        <f>菜單總表!O33</f>
        <v>2.2999999999999998</v>
      </c>
      <c r="P33" s="488">
        <f>IFERROR(SUMPRODUCT(第三週!$J$4:$J$259,第三週!$AQ$4:$AQ$259)/第三週!$J$2,"")</f>
        <v>0</v>
      </c>
      <c r="Q33" s="488">
        <f>IFERROR(SUMPRODUCT(第三週!$J$4:$J$259,第三週!$AR$4:$AR$259)/第三週!$J$2,"")</f>
        <v>0</v>
      </c>
      <c r="R33" s="490">
        <f>IFERROR(L33*70+M33*75+N33*25+O33*45+P33*60+Q33*150,"")</f>
        <v>606</v>
      </c>
    </row>
    <row r="34" spans="1:18" s="22" customFormat="1" ht="25.15" customHeight="1">
      <c r="A34" s="476"/>
      <c r="B34" s="478"/>
      <c r="C34" s="480"/>
      <c r="D34" s="21" t="str">
        <f>_xlfn.CONCAT(IF(IFERROR(FIND("素-",第三週!$H$34),0)=1,"",第三週!$H$34),IF(OR(第三週!$H$35=0,IFERROR(FIND("素-",第三週!$H$35),0)=1),"",","),IF(IFERROR(FIND("素-",第三週!$H$35),0)=1,"",第三週!$H$35),IF(OR(第三週!$H$36=0,IFERROR(FIND("素-",第三週!$H$36),0)=1),"",","),IF(IFERROR(FIND("素-",第三週!$H$36),0)=1,"",第三週!$H$36),IF(OR(第三週!$H$37=0,IFERROR(FIND("素-",第三週!$H$37),0)=1),"",","),IF(IFERROR(FIND("素-",第三週!$H$37),0)=1,"",第三週!$H$37),IF(OR(第三週!$H$38=0,IFERROR(FIND("素-",第三週!$H$38),0)=1),"",","),IF(IFERROR(FIND("素-",第三週!$H$38),0)=1,"",第三週!$H$38),IF(OR(第三週!$H$39=0,IFERROR(FIND("素-",第三週!$H$39),0)=1),"",","),IF(IFERROR(FIND("素-",第三週!$H$39),0)=1,"",第三週!$H$39),IF(OR(第三週!$H$40=0,IFERROR(FIND("素-",第三週!$H$40),0)=1),"",","),IF(IFERROR(FIND("素-",第三週!$H$40),0)=1,"",第三週!$H$40),IF(OR(第三週!$H$41=0,IFERROR(FIND("素-",第三週!$H$41),0)=1),"",","),IF(IFERROR(FIND("素-",第三週!$H$41),0)=1,"",第三週!$H$41),IF(OR(第三週!$H$42=0,IFERROR(FIND("素-",第三週!$H$42),0)=1),"",","),IF(IFERROR(FIND("素-",第三週!$H$42),0)=1,"",第三週!$H$42))</f>
        <v>豬前腿肉,油豆腐</v>
      </c>
      <c r="E34" s="21" t="str">
        <f>_xlfn.CONCAT(IF(IFERROR(FIND("素-",第三週!$H$49),0)=1,"",第三週!$H$49),IF(OR(第三週!$H$50=0,IFERROR(FIND("素-",第三週!$H$50),0)=1),"",","),IF(IFERROR(FIND("素-",第三週!$H$50),0)=1,"",第三週!$H$50),IF(OR(第三週!$H$51=0,IFERROR(FIND("素-",第三週!$H$51),0)=1),"",","),IF(IFERROR(FIND("素-",第三週!$H$51),0)=1,"",第三週!$H$51),IF(OR(第三週!$H$52=0,IFERROR(FIND("素-",第三週!$H$52),0)=1),"",","),IF(IFERROR(FIND("素-",第三週!$H$52),0)=1,"",第三週!$H$52),IF(OR(第三週!$H$53=0,IFERROR(FIND("素-",第三週!$H$53),0)=1),"",","),IF(IFERROR(FIND("素-",第三週!$H$53),0)=1,"",第三週!$H$53),IF(OR(第三週!$H$54=0,IFERROR(FIND("素-",第三週!$H$54),0)=1),"",","),IF(IFERROR(FIND("素-",第三週!$H$54),0)=1,"",第三週!$H$54),IF(OR(第三週!$H$55=0,IFERROR(FIND("素-",第三週!$H$55),0)=1),"",","),IF(IFERROR(FIND("素-",第三週!$H$55),0)=1,"",第三週!$H$55))</f>
        <v>長樂(-74)、安小(-68)畢業生最後用餐日</v>
      </c>
      <c r="F34" s="21" t="str">
        <f>_xlfn.CONCAT(IF(IFERROR(FIND("素-",第三週!$H$94),0)=1,"",第三週!$H$94),IF(OR(第三週!$H$95=0,IFERROR(FIND("素-",第三週!$H$95),0)=1),"",","),IF(IFERROR(FIND("素-",第三週!$H$95),0)=1,"",第三週!$H$95),IF(OR(第三週!$H$96=0,IFERROR(FIND("素-",第三週!$H$96),0)=1),"",","),IF(IFERROR(FIND("素-",第三週!$H$96),0)=1,"",第三週!$H$96),IF(OR(第三週!$H$97=0,IFERROR(FIND("素-",第三週!$H$97),0)=1),"",","),IF(IFERROR(FIND("素-",第三週!$H$97),0)=1,"",第三週!$H$97),IF(OR(第三週!$H$98=0,IFERROR(FIND("素-",第三週!$H$98),0)=1),"",","),IF(IFERROR(FIND("素-",第三週!$H$98),0)=1,"",第三週!$H$98),IF(OR(第三週!$H$99=0,IFERROR(FIND("素-",第三週!$H$99),0)=1),"",","),IF(IFERROR(FIND("素-",第三週!$H$99),0)=1,"",第三週!$H$99),IF(OR(第三週!$H$100=0,IFERROR(FIND("素-",第三週!$H$100),0)=1),"",","),IF(IFERROR(FIND("素-",第三週!$H$100),0)=1,"",第三週!$H$100))</f>
        <v>冷凍玉米粒,冷凍洋芋,冷凍胡蘿蔔,乳酪絲,青椒,紅甜椒</v>
      </c>
      <c r="G34" s="21" t="str">
        <f>_xlfn.CONCAT(IF(IFERROR(FIND("素-",第三週!$H$109),0)=1,"",第三週!$H$109),IF(OR(第三週!$H$110=0,IFERROR(FIND("素-",第三週!$H$110),0)=1),"",","),IF(IFERROR(FIND("素-",第三週!$H$110),0)=1,"",第三週!$H$110),IF(OR(第三週!$H$111=0,IFERROR(FIND("素-",第三週!$H$111),0)=1),"",","),IF(IFERROR(FIND("素-",第三週!$H$111),0)=1,"",第三週!$H$111),IF(OR(第三週!$H$112=0,IFERROR(FIND("素-",第三週!$H$112),0)=1),"",","),IF(IFERROR(FIND("素-",第三週!$H$112),0)=1,"",第三週!$H$112),IF(OR(第三週!$H$113=0,IFERROR(FIND("素-",第三週!$H$113),0)=1),"",","),IF(IFERROR(FIND("素-",第三週!$H$113),0)=1,"",第三週!$H$113),IF(OR(第三週!$H$114=0,IFERROR(FIND("素-",第三週!$H$114),0)=1),"",","),IF(IFERROR(FIND("素-",第三週!$H$114),0)=1,"",第三週!$H$114),IF(OR(第三週!$H$115=0,IFERROR(FIND("素-",第三週!$H$115),0)=1),"",","),IF(IFERROR(FIND("素-",第三週!$H$115),0)=1,"",第三週!$H$115))</f>
        <v>洋蔥,雞蛋</v>
      </c>
      <c r="H34" s="21" t="str">
        <f>_xlfn.CONCAT(IF(IFERROR(FIND("素-",第三週!$H$199),0)=1,"",第三週!$H$199),IF(OR(第三週!$H$200=0,IFERROR(FIND("素-",第三週!$H$200),0)=1),"",","),IF(IFERROR(FIND("素-",第三週!$H$200),0)=1,"",第三週!$H$200),IF(OR(第三週!$H$201=0,IFERROR(FIND("素-",第三週!$H$201),0)=1),"",","),IF(IFERROR(FIND("素-",第三週!$H$201),0)=1,"",第三週!$H$201),IF(OR(第三週!$H$202=0,IFERROR(FIND("素-",第三週!$H$202),0)=1),"",","),IF(IFERROR(FIND("素-",第三週!$H$202),0)=1,"",第三週!$H$202),IF(OR(第三週!$H$203=0,IFERROR(FIND("素-",第三週!$H$203),0)=1),"",","),IF(IFERROR(FIND("素-",第三週!$H$203),0)=1,"",第三週!$H$203),IF(OR(第三週!$H$204=0,IFERROR(FIND("素-",第三週!$H$204),0)=1),"",","),IF(IFERROR(FIND("素-",第三週!$H$204),0)=1,"",第三週!$H$204),IF(OR(第三週!$H$205=0,IFERROR(FIND("素-",第三週!$H$205),0)=1),"",","),IF(IFERROR(FIND("素-",第三週!$H$205),0)=1,"",第三週!$H$205),IF(OR(第三週!$H$206=0,IFERROR(FIND("素-",第三週!$H$206),0)=1),"",","),IF(IFERROR(FIND("素-",第三週!$H$206),0)=1,"",第三週!$H$206))</f>
        <v>豬前腿肉,小湯圓,油蔥酥,乾香菇絲,雞蛋,蝦米,芹菜</v>
      </c>
      <c r="I34" s="474"/>
      <c r="J34" s="482"/>
      <c r="K34" s="482"/>
      <c r="L34" s="489"/>
      <c r="M34" s="489"/>
      <c r="N34" s="489"/>
      <c r="O34" s="489"/>
      <c r="P34" s="489"/>
      <c r="Q34" s="489"/>
      <c r="R34" s="491"/>
    </row>
    <row r="35" spans="1:18" ht="49.9" customHeight="1">
      <c r="A35" s="475">
        <f>IF(第三週!$L$2=0,"",第三週!$L$2)</f>
        <v>45461</v>
      </c>
      <c r="B35" s="477" t="s">
        <v>23</v>
      </c>
      <c r="C35" s="479" t="str">
        <f>IF(第三週!$L$4=0,"",第三週!$L$4)</f>
        <v>白飯</v>
      </c>
      <c r="D35" s="81" t="str">
        <f>IF(第三週!$L$34=0,"",第三週!$L$34)</f>
        <v>茄汁雞丁</v>
      </c>
      <c r="E35" s="81" t="str">
        <f>IF(第三週!$L$49=0,"",第三週!$L$49)</f>
        <v/>
      </c>
      <c r="F35" s="82" t="str">
        <f>IF(第三週!$L$94=0,"",第三週!$L$94)</f>
        <v>芹香素雞</v>
      </c>
      <c r="G35" s="82" t="str">
        <f>IF(第三週!$L$109=0,"",第三週!$L$109)</f>
        <v>角螺白菜</v>
      </c>
      <c r="H35" s="82" t="str">
        <f>IF(第三週!$L$199=0,"",第三週!$L$199)</f>
        <v>玉米豆腐湯</v>
      </c>
      <c r="I35" s="473" t="str">
        <f>IF(第三週!$L$184=0,"",第三週!$L$184)</f>
        <v>清炒時蔬</v>
      </c>
      <c r="J35" s="481" t="str">
        <f>IF(第三週!$L$214=0,"",第三週!$L$214)</f>
        <v>牛奶</v>
      </c>
      <c r="K35" s="481" t="str">
        <f>IF(第三週!$L$234=0,"",第三週!$L$234)</f>
        <v/>
      </c>
      <c r="L35" s="488">
        <f>_xlfn.IFS(菜單總表!L35&lt;4.5,4.5,5.5&lt;菜單總表!L35,5.5,AND(4.5&lt;菜單總表!L35,菜單總表!L35&lt;5.7),菜單總表!L35)</f>
        <v>4.5</v>
      </c>
      <c r="M35" s="488">
        <f>_xlfn.IFS(菜單總表!M35&lt;2.1,2,3&lt;菜單總表!M35,3,AND(2.1&lt;菜單總表!M35,菜單總表!M35&lt;3),菜單總表!M35)</f>
        <v>2</v>
      </c>
      <c r="N35" s="488">
        <f>IF(菜單總表!N35&lt;1.5,1.5+菜單總表!N35/30,菜單總表!N35)</f>
        <v>1.5</v>
      </c>
      <c r="O35" s="488">
        <f>菜單總表!O35</f>
        <v>2.2999999999999998</v>
      </c>
      <c r="P35" s="488">
        <f>IFERROR(SUMPRODUCT(第三週!$O$4:$O$259,第三週!$AX$4:$AX$259)/第三週!$O$2,"")</f>
        <v>0</v>
      </c>
      <c r="Q35" s="488">
        <f>IFERROR(SUMPRODUCT(第三週!$O$4:$O$259,第三週!$AY$4:$AY$259)/第三週!$O$2,"")</f>
        <v>0</v>
      </c>
      <c r="R35" s="490">
        <f>IFERROR(L35*70+M35*75+N35*25+O35*45+P35*60+Q35*150,"")</f>
        <v>606</v>
      </c>
    </row>
    <row r="36" spans="1:18" s="22" customFormat="1" ht="25.15" customHeight="1">
      <c r="A36" s="476"/>
      <c r="B36" s="478"/>
      <c r="C36" s="480"/>
      <c r="D36" s="21" t="str">
        <f>_xlfn.CONCAT(IF(IFERROR(FIND("素-",第三週!$M$34),0)=1,"",第三週!$M$34),IF(OR(第三週!$M$35=0,IFERROR(FIND("素-",第三週!$M$35),0)=1),"",","),IF(IFERROR(FIND("素-",第三週!$M$35),0)=1,"",第三週!$M$35),IF(OR(第三週!$M$36=0,IFERROR(FIND("素-",第三週!$M$36),0)=1),"",","),IF(IFERROR(FIND("素-",第三週!$M$36),0)=1,"",第三週!$M$36),IF(OR(第三週!$M$37=0,IFERROR(FIND("素-",第三週!$M$37),0)=1),"",","),IF(IFERROR(FIND("素-",第三週!$M$37),0)=1,"",第三週!$M$37),IF(OR(第三週!$M$38=0,IFERROR(FIND("素-",第三週!$M$38),0)=1),"",","),IF(IFERROR(FIND("素-",第三週!$M$38),0)=1,"",第三週!$M$38),IF(OR(第三週!$M$39=0,IFERROR(FIND("素-",第三週!$M$39),0)=1),"",","),IF(IFERROR(FIND("素-",第三週!$M$39),0)=1,"",第三週!$M$39),IF(OR(第三週!$M$40=0,IFERROR(FIND("素-",第三週!$M$40),0)=1),"",","),IF(IFERROR(FIND("素-",第三週!$M$40),0)=1,"",第三週!$M$40),IF(OR(第三週!$M$41=0,IFERROR(FIND("素-",第三週!$M$41),0)=1),"",","),IF(IFERROR(FIND("素-",第三週!$M$41),0)=1,"",第三週!$M$41),IF(OR(第三週!$M$42=0,IFERROR(FIND("素-",第三週!$M$42),0)=1),"",","),IF(IFERROR(FIND("素-",第三週!$M$42),0)=1,"",第三週!$M$42))</f>
        <v>骨腿,雞清胸肉,番茄,凍豆腐,番茄醬</v>
      </c>
      <c r="E36" s="21" t="str">
        <f>_xlfn.CONCAT(IF(IFERROR(FIND("素-",第三週!$M$49),0)=1,"",第三週!$M$49),IF(OR(第三週!$M$50=0,IFERROR(FIND("素-",第三週!$M$50),0)=1),"",","),IF(IFERROR(FIND("素-",第三週!$M$50),0)=1,"",第三週!$M$50),IF(OR(第三週!$M$51=0,IFERROR(FIND("素-",第三週!$M$51),0)=1),"",","),IF(IFERROR(FIND("素-",第三週!$M$51),0)=1,"",第三週!$M$51),IF(OR(第三週!$M$52=0,IFERROR(FIND("素-",第三週!$M$52),0)=1),"",","),IF(IFERROR(FIND("素-",第三週!$M$52),0)=1,"",第三週!$M$52),IF(OR(第三週!$M$53=0,IFERROR(FIND("素-",第三週!$M$53),0)=1),"",","),IF(IFERROR(FIND("素-",第三週!$M$53),0)=1,"",第三週!$M$53),IF(OR(第三週!$M$54=0,IFERROR(FIND("素-",第三週!$M$54),0)=1),"",","),IF(IFERROR(FIND("素-",第三週!$M$54),0)=1,"",第三週!$M$54),IF(OR(第三週!$M$55=0,IFERROR(FIND("素-",第三週!$M$55),0)=1),"",","),IF(IFERROR(FIND("素-",第三週!$M$55),0)=1,"",第三週!$M$55))</f>
        <v/>
      </c>
      <c r="F36" s="23" t="str">
        <f>_xlfn.CONCAT(IF(IFERROR(FIND("素-",第三週!$M$94),0)=1,"",第三週!$M$94),IF(OR(第三週!$M$95=0,IFERROR(FIND("素-",第三週!$M$95),0)=1),"",","),IF(IFERROR(FIND("素-",第三週!$M$95),0)=1,"",第三週!$M$95),IF(OR(第三週!$M$96=0,IFERROR(FIND("素-",第三週!$M$96),0)=1),"",","),IF(IFERROR(FIND("素-",第三週!$M$96),0)=1,"",第三週!$M$96),IF(OR(第三週!$M$97=0,IFERROR(FIND("素-",第三週!$M$97),0)=1),"",","),IF(IFERROR(FIND("素-",第三週!$M$97),0)=1,"",第三週!$M$97),IF(OR(第三週!$M$98=0,IFERROR(FIND("素-",第三週!$M$98),0)=1),"",","),IF(IFERROR(FIND("素-",第三週!$M$98),0)=1,"",第三週!$M$98),IF(OR(第三週!$M$99=0,IFERROR(FIND("素-",第三週!$M$99),0)=1),"",","),IF(IFERROR(FIND("素-",第三週!$M$99),0)=1,"",第三週!$M$99),IF(OR(第三週!$M$100=0,IFERROR(FIND("素-",第三週!$M$100),0)=1),"",","),IF(IFERROR(FIND("素-",第三週!$M$100),0)=1,"",第三週!$M$100))</f>
        <v>西洋芹,素雞,胡蘿蔔</v>
      </c>
      <c r="G36" s="21" t="str">
        <f>_xlfn.CONCAT(IF(IFERROR(FIND("素-",第三週!$M$109),0)=1,"",第三週!$M$109),IF(OR(第三週!$M$110=0,IFERROR(FIND("素-",第三週!$M$110),0)=1),"",","),IF(IFERROR(FIND("素-",第三週!$M$110),0)=1,"",第三週!$M$110),IF(OR(第三週!$M$111=0,IFERROR(FIND("素-",第三週!$M$111),0)=1),"",","),IF(IFERROR(FIND("素-",第三週!$M$111),0)=1,"",第三週!$M$111),IF(OR(第三週!$M$112=0,IFERROR(FIND("素-",第三週!$M$112),0)=1),"",","),IF(IFERROR(FIND("素-",第三週!$M$112),0)=1,"",第三週!$M$112),IF(OR(第三週!$M$113=0,IFERROR(FIND("素-",第三週!$M$113),0)=1),"",","),IF(IFERROR(FIND("素-",第三週!$M$113),0)=1,"",第三週!$M$113),IF(OR(第三週!$M$114=0,IFERROR(FIND("素-",第三週!$M$114),0)=1),"",","),IF(IFERROR(FIND("素-",第三週!$M$114),0)=1,"",第三週!$M$114),IF(OR(第三週!$M$115=0,IFERROR(FIND("素-",第三週!$M$115),0)=1),"",","),IF(IFERROR(FIND("素-",第三週!$M$115),0)=1,"",第三週!$M$115))</f>
        <v>大白菜,角螺,胡蘿蔔</v>
      </c>
      <c r="H36" s="21" t="str">
        <f>_xlfn.CONCAT(IF(IFERROR(FIND("素-",第三週!$M$199),0)=1,"",第三週!$M$199),IF(OR(第三週!$M$200=0,IFERROR(FIND("素-",第三週!$M$200),0)=1),"",","),IF(IFERROR(FIND("素-",第三週!$M$200),0)=1,"",第三週!$M$200),IF(OR(第三週!$M$201=0,IFERROR(FIND("素-",第三週!$M$201),0)=1),"",","),IF(IFERROR(FIND("素-",第三週!$M$201),0)=1,"",第三週!$M$201),IF(OR(第三週!$M$202=0,IFERROR(FIND("素-",第三週!$M$202),0)=1),"",","),IF(IFERROR(FIND("素-",第三週!$M$202),0)=1,"",第三週!$M$202),IF(OR(第三週!$M$203=0,IFERROR(FIND("素-",第三週!$M$203),0)=1),"",","),IF(IFERROR(FIND("素-",第三週!$M$203),0)=1,"",第三週!$M$203),IF(OR(第三週!$M$204=0,IFERROR(FIND("素-",第三週!$M$204),0)=1),"",","),IF(IFERROR(FIND("素-",第三週!$M$204),0)=1,"",第三週!$M$204),IF(OR(第三週!$M$205=0,IFERROR(FIND("素-",第三週!$M$205),0)=1),"",","),IF(IFERROR(FIND("素-",第三週!$M$205),0)=1,"",第三週!$M$205),IF(OR(第三週!$M$206=0,IFERROR(FIND("素-",第三週!$M$206),0)=1),"",","),IF(IFERROR(FIND("素-",第三週!$M$206),0)=1,"",第三週!$M$206))</f>
        <v>冷凍玉米粒,板豆腐,中排</v>
      </c>
      <c r="I36" s="474"/>
      <c r="J36" s="482"/>
      <c r="K36" s="482"/>
      <c r="L36" s="489"/>
      <c r="M36" s="489"/>
      <c r="N36" s="489"/>
      <c r="O36" s="489"/>
      <c r="P36" s="489"/>
      <c r="Q36" s="489"/>
      <c r="R36" s="491"/>
    </row>
    <row r="37" spans="1:18" ht="49.9" customHeight="1">
      <c r="A37" s="475">
        <f>IF(第三週!$Q$2=0,"",第三週!$Q$2)</f>
        <v>45462</v>
      </c>
      <c r="B37" s="477" t="s">
        <v>24</v>
      </c>
      <c r="C37" s="479" t="str">
        <f>IF(第三週!$Q$4=0,"",第三週!$Q$4)</f>
        <v>黃油麵</v>
      </c>
      <c r="D37" s="81" t="str">
        <f>IF(第三週!$Q$34=0,"",第三週!$Q$34)</f>
        <v>豬肉秀菇燴麵</v>
      </c>
      <c r="E37" s="81" t="str">
        <f>IF(第三週!$Q$49=0,"",第三週!$Q$49)</f>
        <v>芝麻包</v>
      </c>
      <c r="F37" s="82"/>
      <c r="G37" s="82" t="str">
        <f>IF(第三週!$Q$109=0,"",第三週!$Q$109)</f>
        <v>杏鮑菇洋芋</v>
      </c>
      <c r="H37" s="82" t="str">
        <f>IF(第三週!$Q$199=0,"",第三週!$Q$199)</f>
        <v>Q圓芋頭湯</v>
      </c>
      <c r="I37" s="473" t="str">
        <f>IF(第三週!$Q$184=0,"",第三週!$Q$184)</f>
        <v>清炒時蔬</v>
      </c>
      <c r="J37" s="481" t="str">
        <f>IF(第三週!$Q$214=0,"",第三週!$Q$214)</f>
        <v>水果</v>
      </c>
      <c r="K37" s="481" t="str">
        <f>IF(第三週!$Q$234=0,"",第三週!$Q$234)</f>
        <v/>
      </c>
      <c r="L37" s="488">
        <f>_xlfn.IFS(菜單總表!L37&lt;4.5,4.5,5.5&lt;菜單總表!L37,5.5,AND(4.5&lt;菜單總表!L37,菜單總表!L37&lt;5.7),菜單總表!L37)</f>
        <v>4.5</v>
      </c>
      <c r="M37" s="488">
        <f>_xlfn.IFS(菜單總表!M37&lt;2.1,2,3&lt;菜單總表!M37,3,AND(2.1&lt;菜單總表!M37,菜單總表!M37&lt;3),菜單總表!M37)</f>
        <v>2</v>
      </c>
      <c r="N37" s="488">
        <f>IF(菜單總表!N37&lt;1.5,1.5+菜單總表!N37/30,菜單總表!N37)</f>
        <v>1.5</v>
      </c>
      <c r="O37" s="488">
        <f>菜單總表!O37</f>
        <v>2.2999999999999998</v>
      </c>
      <c r="P37" s="488">
        <f>IFERROR(SUMPRODUCT(第三週!$T$4:$T$259,第三週!$BE$4:$BE$259)/第三週!$T$2,"")</f>
        <v>0</v>
      </c>
      <c r="Q37" s="488">
        <f>IFERROR(SUMPRODUCT(第三週!$T$4:$T$259,第三週!$BF$4:$BF$259)/第三週!$T$2,"")</f>
        <v>0</v>
      </c>
      <c r="R37" s="490">
        <f>IFERROR(L37*70+M37*75+N37*25+O37*45+P37*60+Q37*150,"")</f>
        <v>606</v>
      </c>
    </row>
    <row r="38" spans="1:18" s="22" customFormat="1" ht="25.15" customHeight="1">
      <c r="A38" s="476"/>
      <c r="B38" s="478"/>
      <c r="C38" s="480"/>
      <c r="D38" s="21" t="str">
        <f>_xlfn.CONCAT(IF(IFERROR(FIND("素-",第三週!$R$34),0)=1,"",第三週!$R$34),IF(OR(第三週!$R$35=0,IFERROR(FIND("素-",第三週!$R$35),0)=1),"",","),IF(IFERROR(FIND("素-",第三週!$R$35),0)=1,"",第三週!$R$35),IF(OR(第三週!$R$36=0,IFERROR(FIND("素-",第三週!$R$36),0)=1),"",","),IF(IFERROR(FIND("素-",第三週!$R$36),0)=1,"",第三週!$R$36),IF(OR(第三週!$R$37=0,IFERROR(FIND("素-",第三週!$R$37),0)=1),"",","),IF(IFERROR(FIND("素-",第三週!$R$37),0)=1,"",第三週!$R$37),IF(OR(第三週!$R$38=0,IFERROR(FIND("素-",第三週!$R$38),0)=1),"",","),IF(IFERROR(FIND("素-",第三週!$R$38),0)=1,"",第三週!$R$38),IF(OR(第三週!$R$39=0,IFERROR(FIND("素-",第三週!$R$39),0)=1),"",","),IF(IFERROR(FIND("素-",第三週!$R$39),0)=1,"",第三週!$R$39),IF(OR(第三週!$R$40=0,IFERROR(FIND("素-",第三週!$R$40),0)=1),"",","),IF(IFERROR(FIND("素-",第三週!$R$40),0)=1,"",第三週!$R$40),IF(OR(第三週!$R$41=0,IFERROR(FIND("素-",第三週!$R$41),0)=1),"",","),IF(IFERROR(FIND("素-",第三週!$R$41),0)=1,"",第三週!$R$41),IF(OR(第三週!$R$42=0,IFERROR(FIND("素-",第三週!$R$42),0)=1),"",","),IF(IFERROR(FIND("素-",第三週!$R$42),0)=1,"",第三週!$R$42))</f>
        <v>豬前腿肉,秀珍菇,洋蔥,冷凍玉米粒,胡蘿蔔,高麗菜</v>
      </c>
      <c r="E38" s="21" t="str">
        <f>_xlfn.CONCAT(IF(IFERROR(FIND("素-",第三週!$R$49),0)=1,"",第三週!$R$49),IF(OR(第三週!$R$50=0,IFERROR(FIND("素-",第三週!$R$50),0)=1),"",","),IF(IFERROR(FIND("素-",第三週!$R$50),0)=1,"",第三週!$R$50),IF(OR(第三週!$R$51=0,IFERROR(FIND("素-",第三週!$R$51),0)=1),"",","),IF(IFERROR(FIND("素-",第三週!$R$51),0)=1,"",第三週!$R$51),IF(OR(第三週!$R$52=0,IFERROR(FIND("素-",第三週!$R$52),0)=1),"",","),IF(IFERROR(FIND("素-",第三週!$R$52),0)=1,"",第三週!$R$52),IF(OR(第三週!$R$53=0,IFERROR(FIND("素-",第三週!$R$53),0)=1),"",","),IF(IFERROR(FIND("素-",第三週!$R$53),0)=1,"",第三週!$R$53),IF(OR(第三週!$R$54=0,IFERROR(FIND("素-",第三週!$R$54),0)=1),"",","),IF(IFERROR(FIND("素-",第三週!$R$54),0)=1,"",第三週!$R$54),IF(OR(第三週!$R$55=0,IFERROR(FIND("素-",第三週!$R$55),0)=1),"",","),IF(IFERROR(FIND("素-",第三週!$R$55),0)=1,"",第三週!$R$55))</f>
        <v>芝麻包</v>
      </c>
      <c r="F38" s="21"/>
      <c r="G38" s="21" t="str">
        <f>_xlfn.CONCAT(IF(IFERROR(FIND("素-",第三週!$R$109),0)=1,"",第三週!$R$109),IF(OR(第三週!$R$110=0,IFERROR(FIND("素-",第三週!$R$110),0)=1),"",","),IF(IFERROR(FIND("素-",第三週!$R$110),0)=1,"",第三週!$R$110),IF(OR(第三週!$R$111=0,IFERROR(FIND("素-",第三週!$R$111),0)=1),"",","),IF(IFERROR(FIND("素-",第三週!$R$111),0)=1,"",第三週!$R$111),IF(OR(第三週!$R$112=0,IFERROR(FIND("素-",第三週!$R$112),0)=1),"",","),IF(IFERROR(FIND("素-",第三週!$R$112),0)=1,"",第三週!$R$112),IF(OR(第三週!$R$113=0,IFERROR(FIND("素-",第三週!$R$113),0)=1),"",","),IF(IFERROR(FIND("素-",第三週!$R$113),0)=1,"",第三週!$R$113),IF(OR(第三週!$R$114=0,IFERROR(FIND("素-",第三週!$R$114),0)=1),"",","),IF(IFERROR(FIND("素-",第三週!$R$114),0)=1,"",第三週!$R$114),IF(OR(第三週!$R$115=0,IFERROR(FIND("素-",第三週!$R$115),0)=1),"",","),IF(IFERROR(FIND("素-",第三週!$R$115),0)=1,"",第三週!$R$115))</f>
        <v>洋芋,杏鮑菇,胡蘿蔔,冷凍玉米粒</v>
      </c>
      <c r="H38" s="21" t="str">
        <f>_xlfn.CONCAT(IF(IFERROR(FIND("素-",第三週!$R$199),0)=1,"",第三週!$R$199),IF(OR(第三週!$R$200=0,IFERROR(FIND("素-",第三週!$R$200),0)=1),"",","),IF(IFERROR(FIND("素-",第三週!$R$200),0)=1,"",第三週!$R$200),IF(OR(第三週!$R$201=0,IFERROR(FIND("素-",第三週!$R$201),0)=1),"",","),IF(IFERROR(FIND("素-",第三週!$R$201),0)=1,"",第三週!$R$201),IF(OR(第三週!$R$202=0,IFERROR(FIND("素-",第三週!$R$202),0)=1),"",","),IF(IFERROR(FIND("素-",第三週!$R$202),0)=1,"",第三週!$R$202),IF(OR(第三週!$R$203=0,IFERROR(FIND("素-",第三週!$R$203),0)=1),"",","),IF(IFERROR(FIND("素-",第三週!$R$203),0)=1,"",第三週!$R$203),IF(OR(第三週!$R$204=0,IFERROR(FIND("素-",第三週!$R$204),0)=1),"",","),IF(IFERROR(FIND("素-",第三週!$R$204),0)=1,"",第三週!$R$204),IF(OR(第三週!$R$205=0,IFERROR(FIND("素-",第三週!$R$205),0)=1),"",","),IF(IFERROR(FIND("素-",第三週!$R$205),0)=1,"",第三週!$R$205),IF(OR(第三週!$R$206=0,IFERROR(FIND("素-",第三週!$R$206),0)=1),"",","),IF(IFERROR(FIND("素-",第三週!$R$206),0)=1,"",第三週!$R$206))</f>
        <v>脆圓,冷凍芋頭丁,二砂糖,椰奶</v>
      </c>
      <c r="I38" s="474"/>
      <c r="J38" s="482"/>
      <c r="K38" s="482"/>
      <c r="L38" s="489"/>
      <c r="M38" s="489"/>
      <c r="N38" s="489"/>
      <c r="O38" s="489"/>
      <c r="P38" s="489"/>
      <c r="Q38" s="489"/>
      <c r="R38" s="491"/>
    </row>
    <row r="39" spans="1:18" ht="49.9" customHeight="1">
      <c r="A39" s="475">
        <f>IF(第三週!$V$2=0,"",第三週!$V$2)</f>
        <v>45463</v>
      </c>
      <c r="B39" s="477" t="s">
        <v>25</v>
      </c>
      <c r="C39" s="479" t="str">
        <f>IF(第三週!$V$4=0,"",第三週!$V$4)</f>
        <v>地瓜飯</v>
      </c>
      <c r="D39" s="81" t="str">
        <f>IF(第三週!$V$34=0,"",第三週!$V$34)</f>
        <v>腐乳雞</v>
      </c>
      <c r="E39" s="81" t="str">
        <f>IF(第三週!$V$49=0,"",第三週!$V$49)</f>
        <v/>
      </c>
      <c r="F39" s="82" t="str">
        <f>IF(第三週!$V$94=0,"",第三週!$V$94)</f>
        <v>三色滑蛋</v>
      </c>
      <c r="G39" s="82" t="str">
        <f>IF(第三週!$V$109=0,"",第三週!$V$109)</f>
        <v>螞蟻上樹</v>
      </c>
      <c r="H39" s="82" t="str">
        <f>IF(第三週!$V$199=0,"",第三週!$V$199)</f>
        <v>海帶蛋花湯</v>
      </c>
      <c r="I39" s="473" t="str">
        <f>IF(第三週!$V$184=0,"",第三週!$V$184)</f>
        <v>清炒時蔬</v>
      </c>
      <c r="J39" s="481" t="str">
        <f>IF(第三週!$V$214=0,"",第三週!$V$214)</f>
        <v>牛奶</v>
      </c>
      <c r="K39" s="481" t="str">
        <f>IF(第三週!$V$234=0,"",第三週!$V$234)</f>
        <v/>
      </c>
      <c r="L39" s="488">
        <f>_xlfn.IFS(菜單總表!L39&lt;4.5,4.5,5.5&lt;菜單總表!L39,5.5,AND(4.5&lt;菜單總表!L39,菜單總表!L39&lt;5.7),菜單總表!L39)</f>
        <v>4.5</v>
      </c>
      <c r="M39" s="488">
        <f>_xlfn.IFS(菜單總表!M39&lt;2.1,2,3&lt;菜單總表!M39,3,AND(2.1&lt;菜單總表!M39,菜單總表!M39&lt;3),菜單總表!M39)</f>
        <v>2</v>
      </c>
      <c r="N39" s="488">
        <f>IF(菜單總表!N39&lt;1.5,1.5+菜單總表!N39/30,菜單總表!N39)</f>
        <v>1.5</v>
      </c>
      <c r="O39" s="488">
        <f>菜單總表!O39</f>
        <v>2.2999999999999998</v>
      </c>
      <c r="P39" s="488">
        <f>IFERROR(SUMPRODUCT(第三週!$Y$4:$Y$259,第三週!$BL$4:$BL$259)/第三週!$Y$2,"")</f>
        <v>0</v>
      </c>
      <c r="Q39" s="488">
        <f>IFERROR(SUMPRODUCT(第三週!$Y$4:$Y$259,第三週!$BM$4:$BM$259)/第三週!$Y$2,"")</f>
        <v>0</v>
      </c>
      <c r="R39" s="490">
        <f>IFERROR(L39*70+M39*75+N39*25+O39*45+P39*60+Q39*150,"")</f>
        <v>606</v>
      </c>
    </row>
    <row r="40" spans="1:18" s="22" customFormat="1" ht="25.15" customHeight="1">
      <c r="A40" s="476"/>
      <c r="B40" s="478"/>
      <c r="C40" s="480"/>
      <c r="D40" s="21" t="str">
        <f>_xlfn.CONCAT(IF(IFERROR(FIND("素-",第三週!$W$34),0)=1,"",第三週!$W$34),IF(OR(第三週!$W$35=0,IFERROR(FIND("素-",第三週!$W$35),0)=1),"",","),IF(IFERROR(FIND("素-",第三週!$W$35),0)=1,"",第三週!$W$35),IF(OR(第三週!$W$36=0,IFERROR(FIND("素-",第三週!$W$36),0)=1),"",","),IF(IFERROR(FIND("素-",第三週!$W$36),0)=1,"",第三週!$W$36),IF(OR(第三週!$W$37=0,IFERROR(FIND("素-",第三週!$W$37),0)=1),"",","),IF(IFERROR(FIND("素-",第三週!$W$37),0)=1,"",第三週!$W$37),IF(OR(第三週!$W$38=0,IFERROR(FIND("素-",第三週!$W$38),0)=1),"",","),IF(IFERROR(FIND("素-",第三週!$W$38),0)=1,"",第三週!$W$38),IF(OR(第三週!$W$39=0,IFERROR(FIND("素-",第三週!$W$39),0)=1),"",","),IF(IFERROR(FIND("素-",第三週!$W$39),0)=1,"",第三週!$W$39),IF(OR(第三週!$W$40=0,IFERROR(FIND("素-",第三週!$W$40),0)=1),"",","),IF(IFERROR(FIND("素-",第三週!$W$40),0)=1,"",第三週!$W$40),IF(OR(第三週!$W$41=0,IFERROR(FIND("素-",第三週!$W$41),0)=1),"",","),IF(IFERROR(FIND("素-",第三週!$W$41),0)=1,"",第三週!$W$41),IF(OR(第三週!$W$42=0,IFERROR(FIND("素-",第三週!$W$42),0)=1),"",","),IF(IFERROR(FIND("素-",第三週!$W$42),0)=1,"",第三週!$W$42))</f>
        <v>骨腿,雞清胸肉,洋芋,豆腐乳</v>
      </c>
      <c r="E40" s="21" t="str">
        <f>_xlfn.CONCAT(IF(IFERROR(FIND("素-",第三週!$W$49),0)=1,"",第三週!$W$49),IF(OR(第三週!$W$50=0,IFERROR(FIND("素-",第三週!$W$50),0)=1),"",","),IF(IFERROR(FIND("素-",第三週!$W$50),0)=1,"",第三週!$W$50),IF(OR(第三週!$W$51=0,IFERROR(FIND("素-",第三週!$W$51),0)=1),"",","),IF(IFERROR(FIND("素-",第三週!$W$51),0)=1,"",第三週!$W$51),IF(OR(第三週!$W$52=0,IFERROR(FIND("素-",第三週!$W$52),0)=1),"",","),IF(IFERROR(FIND("素-",第三週!$W$52),0)=1,"",第三週!$W$52),IF(OR(第三週!$W$53=0,IFERROR(FIND("素-",第三週!$W$53),0)=1),"",","),IF(IFERROR(FIND("素-",第三週!$W$53),0)=1,"",第三週!$W$53),IF(OR(第三週!$W$54=0,IFERROR(FIND("素-",第三週!$W$54),0)=1),"",","),IF(IFERROR(FIND("素-",第三週!$W$54),0)=1,"",第三週!$W$54),IF(OR(第三週!$W$55=0,IFERROR(FIND("素-",第三週!$W$55),0)=1),"",","),IF(IFERROR(FIND("素-",第三週!$W$55),0)=1,"",第三週!$W$55))</f>
        <v/>
      </c>
      <c r="F40" s="21" t="str">
        <f>_xlfn.CONCAT(IF(IFERROR(FIND("素-",第三週!$W$94),0)=1,"",第三週!$W$94),IF(OR(第三週!$W$95=0,IFERROR(FIND("素-",第三週!$W$95),0)=1),"",","),IF(IFERROR(FIND("素-",第三週!$W$95),0)=1,"",第三週!$W$95),IF(OR(第三週!$W$96=0,IFERROR(FIND("素-",第三週!$W$96),0)=1),"",","),IF(IFERROR(FIND("素-",第三週!$W$96),0)=1,"",第三週!$W$96),IF(OR(第三週!$W$97=0,IFERROR(FIND("素-",第三週!$W$97),0)=1),"",","),IF(IFERROR(FIND("素-",第三週!$W$97),0)=1,"",第三週!$W$97),IF(OR(第三週!$W$98=0,IFERROR(FIND("素-",第三週!$W$98),0)=1),"",","),IF(IFERROR(FIND("素-",第三週!$W$98),0)=1,"",第三週!$W$98),IF(OR(第三週!$W$99=0,IFERROR(FIND("素-",第三週!$W$99),0)=1),"",","),IF(IFERROR(FIND("素-",第三週!$W$99),0)=1,"",第三週!$W$99),IF(OR(第三週!$W$100=0,IFERROR(FIND("素-",第三週!$W$100),0)=1),"",","),IF(IFERROR(FIND("素-",第三週!$W$100),0)=1,"",第三週!$W$100))</f>
        <v>冷凍胡蘿蔔,冷凍洋芋,冷凍玉米粒,雞蛋</v>
      </c>
      <c r="G40" s="21" t="str">
        <f>_xlfn.CONCAT(IF(IFERROR(FIND("素-",第三週!$W$109),0)=1,"",第三週!$W$109),IF(OR(第三週!$W$110=0,IFERROR(FIND("素-",第三週!$W$110),0)=1),"",","),IF(IFERROR(FIND("素-",第三週!$W$110),0)=1,"",第三週!$W$110),IF(OR(第三週!$W$111=0,IFERROR(FIND("素-",第三週!$W$111),0)=1),"",","),IF(IFERROR(FIND("素-",第三週!$W$111),0)=1,"",第三週!$W$111),IF(OR(第三週!$W$112=0,IFERROR(FIND("素-",第三週!$W$112),0)=1),"",","),IF(IFERROR(FIND("素-",第三週!$W$112),0)=1,"",第三週!$W$112),IF(OR(第三週!$W$113=0,IFERROR(FIND("素-",第三週!$W$113),0)=1),"",","),IF(IFERROR(FIND("素-",第三週!$W$113),0)=1,"",第三週!$W$113),IF(OR(第三週!$W$114=0,IFERROR(FIND("素-",第三週!$W$114),0)=1),"",","),IF(IFERROR(FIND("素-",第三週!$W$114),0)=1,"",第三週!$W$114),IF(OR(第三週!$W$115=0,IFERROR(FIND("素-",第三週!$W$115),0)=1),"",","),IF(IFERROR(FIND("素-",第三週!$W$115),0)=1,"",第三週!$W$115))</f>
        <v>冬粉,豬絞肉,豆瓣醬,青蔥,胡蘿蔔</v>
      </c>
      <c r="H40" s="21" t="str">
        <f>_xlfn.CONCAT(IF(IFERROR(FIND("素-",第三週!$W$199),0)=1,"",第三週!$W$199),IF(OR(第三週!$W$200=0,IFERROR(FIND("素-",第三週!$W$200),0)=1),"",","),IF(IFERROR(FIND("素-",第三週!$W$200),0)=1,"",第三週!$W$200),IF(OR(第三週!$W$201=0,IFERROR(FIND("素-",第三週!$W$201),0)=1),"",","),IF(IFERROR(FIND("素-",第三週!$W$201),0)=1,"",第三週!$W$201),IF(OR(第三週!$W$202=0,IFERROR(FIND("素-",第三週!$W$202),0)=1),"",","),IF(IFERROR(FIND("素-",第三週!$W$202),0)=1,"",第三週!$W$202),IF(OR(第三週!$W$203=0,IFERROR(FIND("素-",第三週!$W$203),0)=1),"",","),IF(IFERROR(FIND("素-",第三週!$W$203),0)=1,"",第三週!$W$203),IF(OR(第三週!$W$204=0,IFERROR(FIND("素-",第三週!$W$204),0)=1),"",","),IF(IFERROR(FIND("素-",第三週!$W$204),0)=1,"",第三週!$W$204),IF(OR(第三週!$W$205=0,IFERROR(FIND("素-",第三週!$W$205),0)=1),"",","),IF(IFERROR(FIND("素-",第三週!$W$205),0)=1,"",第三週!$W$205),IF(OR(第三週!$W$206=0,IFERROR(FIND("素-",第三週!$W$206),0)=1),"",","),IF(IFERROR(FIND("素-",第三週!$W$206),0)=1,"",第三週!$W$206))</f>
        <v>雞蛋,海帶芽,薑絲</v>
      </c>
      <c r="I40" s="474"/>
      <c r="J40" s="482"/>
      <c r="K40" s="482"/>
      <c r="L40" s="489"/>
      <c r="M40" s="489"/>
      <c r="N40" s="489"/>
      <c r="O40" s="489"/>
      <c r="P40" s="489"/>
      <c r="Q40" s="489"/>
      <c r="R40" s="491"/>
    </row>
    <row r="41" spans="1:18" ht="49.9" customHeight="1">
      <c r="A41" s="475">
        <f>IF(第三週!$AA$2=0,"",第三週!$AA$2)</f>
        <v>45464</v>
      </c>
      <c r="B41" s="477" t="s">
        <v>37</v>
      </c>
      <c r="C41" s="479" t="str">
        <f>IF(第三週!$AA$4=0,"",第三週!$AA$4)</f>
        <v>白飯</v>
      </c>
      <c r="D41" s="81" t="str">
        <f>IF(第三週!$AA$34=0,"",第三週!$AA$34)</f>
        <v>京醬肉絲</v>
      </c>
      <c r="E41" s="81" t="str">
        <f>IF(第三週!$AA$49=0,"",第三週!$AA$49)</f>
        <v/>
      </c>
      <c r="F41" s="82" t="str">
        <f>IF(第三週!$AA$94=0,"",第三週!$AA$94)</f>
        <v>木耳高麗</v>
      </c>
      <c r="G41" s="82" t="str">
        <f>IF(第三週!$AA$109=0,"",第三週!$AA$109)</f>
        <v>麥克雞塊</v>
      </c>
      <c r="H41" s="82" t="str">
        <f>IF(第三週!$AA$199=0,"",第三週!$AA$199)</f>
        <v>金針貢丸湯</v>
      </c>
      <c r="I41" s="473" t="str">
        <f>IF(第三週!$AA$184=0,"",第三週!$AA$184)</f>
        <v>清炒時蔬</v>
      </c>
      <c r="J41" s="481" t="str">
        <f>IF(第三週!$AA$214=0,"",第三週!$AA$214)</f>
        <v>水果</v>
      </c>
      <c r="K41" s="481" t="str">
        <f>IF(第三週!$AA$234=0,"",第三週!$AA$234)</f>
        <v/>
      </c>
      <c r="L41" s="488">
        <f>_xlfn.IFS(菜單總表!L41&lt;4.5,4.5,5.5&lt;菜單總表!L41,5.5,AND(4.5&lt;菜單總表!L41,菜單總表!L41&lt;5.7),菜單總表!L41)</f>
        <v>4.5</v>
      </c>
      <c r="M41" s="488">
        <f>_xlfn.IFS(菜單總表!M41&lt;2.1,2,3&lt;菜單總表!M41,3,AND(2.1&lt;菜單總表!M41,菜單總表!M41&lt;3),菜單總表!M41)</f>
        <v>2</v>
      </c>
      <c r="N41" s="488">
        <f>IF(菜單總表!N41&lt;1.5,1.5+菜單總表!N41/30,菜單總表!N41)</f>
        <v>1.5</v>
      </c>
      <c r="O41" s="488">
        <f>菜單總表!O41</f>
        <v>2.2999999999999998</v>
      </c>
      <c r="P41" s="488">
        <f>IFERROR(SUMPRODUCT(第三週!$AD$4:$AD$259,第三週!$BS$4:$BS$259)/第三週!$AD$2,"")</f>
        <v>0</v>
      </c>
      <c r="Q41" s="488">
        <f>IFERROR(SUMPRODUCT(第三週!$AD$4:$AD$259,第三週!$BT$4:$BT$259)/第三週!$AD$2,"")</f>
        <v>0</v>
      </c>
      <c r="R41" s="490">
        <f>IFERROR(L41*70+M41*75+N41*25+O41*45+P41*60+Q41*150,"")</f>
        <v>606</v>
      </c>
    </row>
    <row r="42" spans="1:18" s="22" customFormat="1" ht="25.15" customHeight="1">
      <c r="A42" s="476"/>
      <c r="B42" s="478"/>
      <c r="C42" s="480"/>
      <c r="D42" s="21" t="str">
        <f>_xlfn.CONCAT(IF(IFERROR(FIND("素-",第三週!$AB$34),0)=1,"",第三週!$AB$34),IF(OR(第三週!$AB$35=0,IFERROR(FIND("素-",第三週!$AB$35),0)=1),"",","),IF(IFERROR(FIND("素-",第三週!$AB$35),0)=1,"",第三週!$AB$35),IF(OR(第三週!$AB$36=0,IFERROR(FIND("素-",第三週!$AB$36),0)=1),"",","),IF(IFERROR(FIND("素-",第三週!$AB$36),0)=1,"",第三週!$AB$36),IF(OR(第三週!$AB$37=0,IFERROR(FIND("素-",第三週!$AB$37),0)=1),"",","),IF(IFERROR(FIND("素-",第三週!$AB$37),0)=1,"",第三週!$AB$37),IF(OR(第三週!$AB$38=0,IFERROR(FIND("素-",第三週!$AB$38),0)=1),"",","),IF(IFERROR(FIND("素-",第三週!$AB$38),0)=1,"",第三週!$AB$38),IF(OR(第三週!$AB$39=0,IFERROR(FIND("素-",第三週!$AB$39),0)=1),"",","),IF(IFERROR(FIND("素-",第三週!$AB$39),0)=1,"",第三週!$AB$39),IF(OR(第三週!$AB$40=0,IFERROR(FIND("素-",第三週!$AB$40),0)=1),"",","),IF(IFERROR(FIND("素-",第三週!$AB$40),0)=1,"",第三週!$AB$40),IF(OR(第三週!$AB$41=0,IFERROR(FIND("素-",第三週!$AB$41),0)=1),"",","),IF(IFERROR(FIND("素-",第三週!$AB$41),0)=1,"",第三週!$AB$41),IF(OR(第三週!$AB$42=0,IFERROR(FIND("素-",第三週!$AB$42),0)=1),"",","),IF(IFERROR(FIND("素-",第三週!$AB$42),0)=1,"",第三週!$AB$42))</f>
        <v>豬前腿肉,洋蔥,洋芋,甜麵醬</v>
      </c>
      <c r="E42" s="21" t="str">
        <f>_xlfn.CONCAT(IF(IFERROR(FIND("素-",第三週!$AB$49),0)=1,"",第三週!$AB$49),IF(OR(第三週!$AB$50=0,IFERROR(FIND("素-",第三週!$AB$50),0)=1),"",","),IF(IFERROR(FIND("素-",第三週!$AB$50),0)=1,"",第三週!$AB$50),IF(OR(第三週!$AB$51=0,IFERROR(FIND("素-",第三週!$AB$51),0)=1),"",","),IF(IFERROR(FIND("素-",第三週!$AB$51),0)=1,"",第三週!$AB$51),IF(OR(第三週!$AB$52=0,IFERROR(FIND("素-",第三週!$AB$52),0)=1),"",","),IF(IFERROR(FIND("素-",第三週!$AB$52),0)=1,"",第三週!$AB$52),IF(OR(第三週!$AB$53=0,IFERROR(FIND("素-",第三週!$AB$53),0)=1),"",","),IF(IFERROR(FIND("素-",第三週!$AB$53),0)=1,"",第三週!$AB$53),IF(OR(第三週!$AB$54=0,IFERROR(FIND("素-",第三週!$AB$54),0)=1),"",","),IF(IFERROR(FIND("素-",第三週!$AB$54),0)=1,"",第三週!$AB$54),IF(OR(第三週!$AB$55=0,IFERROR(FIND("素-",第三週!$AB$55),0)=1),"",","),IF(IFERROR(FIND("素-",第三週!$AB$55),0)=1,"",第三週!$AB$55))</f>
        <v/>
      </c>
      <c r="F42" s="21" t="str">
        <f>_xlfn.CONCAT(IF(IFERROR(FIND("素-",第三週!$AB$94),0)=1,"",第三週!$AB$94),IF(OR(第三週!$AB$95=0,IFERROR(FIND("素-",第三週!$AB$95),0)=1),"",","),IF(IFERROR(FIND("素-",第三週!$AB$95),0)=1,"",第三週!$AB$95),IF(OR(第三週!$AB$96=0,IFERROR(FIND("素-",第三週!$AB$96),0)=1),"",","),IF(IFERROR(FIND("素-",第三週!$AB$96),0)=1,"",第三週!$AB$96),IF(OR(第三週!$AB$97=0,IFERROR(FIND("素-",第三週!$AB$97),0)=1),"",","),IF(IFERROR(FIND("素-",第三週!$AB$97),0)=1,"",第三週!$AB$97),IF(OR(第三週!$AB$98=0,IFERROR(FIND("素-",第三週!$AB$98),0)=1),"",","),IF(IFERROR(FIND("素-",第三週!$AB$98),0)=1,"",第三週!$AB$98),IF(OR(第三週!$AB$99=0,IFERROR(FIND("素-",第三週!$AB$99),0)=1),"",","),IF(IFERROR(FIND("素-",第三週!$AB$99),0)=1,"",第三週!$AB$99),IF(OR(第三週!$AB$100=0,IFERROR(FIND("素-",第三週!$AB$100),0)=1),"",","),IF(IFERROR(FIND("素-",第三週!$AB$100),0)=1,"",第三週!$AB$100))</f>
        <v>高麗菜,木耳,紅蘿蔔,蝦米</v>
      </c>
      <c r="G42" s="21" t="str">
        <f>_xlfn.CONCAT(IF(IFERROR(FIND("素-",第三週!$AB$109),0)=1,"",第三週!$AB$109),IF(OR(第三週!$AB$110=0,IFERROR(FIND("素-",第三週!$AB$110),0)=1),"",","),IF(IFERROR(FIND("素-",第三週!$AB$110),0)=1,"",第三週!$AB$110),IF(OR(第三週!$AB$111=0,IFERROR(FIND("素-",第三週!$AB$111),0)=1),"",","),IF(IFERROR(FIND("素-",第三週!$AB$111),0)=1,"",第三週!$AB$111),IF(OR(第三週!$AB$112=0,IFERROR(FIND("素-",第三週!$AB$112),0)=1),"",","),IF(IFERROR(FIND("素-",第三週!$AB$112),0)=1,"",第三週!$AB$112),IF(OR(第三週!$AB$113=0,IFERROR(FIND("素-",第三週!$AB$113),0)=1),"",","),IF(IFERROR(FIND("素-",第三週!$AB$113),0)=1,"",第三週!$AB$113),IF(OR(第三週!$AB$114=0,IFERROR(FIND("素-",第三週!$AB$114),0)=1),"",","),IF(IFERROR(FIND("素-",第三週!$AB$114),0)=1,"",第三週!$AB$114),IF(OR(第三週!$AB$115=0,IFERROR(FIND("素-",第三週!$AB$115),0)=1),"",","),IF(IFERROR(FIND("素-",第三週!$AB$115),0)=1,"",第三週!$AB$115))</f>
        <v>雞塊</v>
      </c>
      <c r="H42" s="21" t="str">
        <f>_xlfn.CONCAT(IF(IFERROR(FIND("素-",第三週!$AB$199),0)=1,"",第三週!$AB$199),IF(OR(第三週!$AB$200=0,IFERROR(FIND("素-",第三週!$AB$200),0)=1),"",","),IF(IFERROR(FIND("素-",第三週!$AB$200),0)=1,"",第三週!$AB$200),IF(OR(第三週!$AB$201=0,IFERROR(FIND("素-",第三週!$AB$201),0)=1),"",","),IF(IFERROR(FIND("素-",第三週!$AB$201),0)=1,"",第三週!$AB$201),IF(OR(第三週!$AB$202=0,IFERROR(FIND("素-",第三週!$AB$202),0)=1),"",","),IF(IFERROR(FIND("素-",第三週!$AB$202),0)=1,"",第三週!$AB$202),IF(OR(第三週!$AB$203=0,IFERROR(FIND("素-",第三週!$AB$203),0)=1),"",","),IF(IFERROR(FIND("素-",第三週!$AB$203),0)=1,"",第三週!$AB$203),IF(OR(第三週!$AB$204=0,IFERROR(FIND("素-",第三週!$AB$204),0)=1),"",","),IF(IFERROR(FIND("素-",第三週!$AB$204),0)=1,"",第三週!$AB$204),IF(OR(第三週!$AB$205=0,IFERROR(FIND("素-",第三週!$AB$205),0)=1),"",","),IF(IFERROR(FIND("素-",第三週!$AB$205),0)=1,"",第三週!$AB$205),IF(OR(第三週!$AB$206=0,IFERROR(FIND("素-",第三週!$AB$206),0)=1),"",","),IF(IFERROR(FIND("素-",第三週!$AB$206),0)=1,"",第三週!$AB$206))</f>
        <v>乾金針,貢丸</v>
      </c>
      <c r="I42" s="474"/>
      <c r="J42" s="482"/>
      <c r="K42" s="482"/>
      <c r="L42" s="489"/>
      <c r="M42" s="489"/>
      <c r="N42" s="489"/>
      <c r="O42" s="489"/>
      <c r="P42" s="489"/>
      <c r="Q42" s="489"/>
      <c r="R42" s="491"/>
    </row>
    <row r="43" spans="1:18" ht="49.9" customHeight="1">
      <c r="A43" s="475" t="str">
        <f>IF(第三週!$AF$2=0,"",第三週!$AF$2)</f>
        <v/>
      </c>
      <c r="B43" s="477" t="s">
        <v>38</v>
      </c>
      <c r="C43" s="479" t="str">
        <f>IF(第三週!$AF$4=0,"",第三週!$AF$4)</f>
        <v/>
      </c>
      <c r="D43" s="81" t="str">
        <f>IF(第三週!$AF$34=0,"",第三週!$AF$34)</f>
        <v/>
      </c>
      <c r="E43" s="81" t="str">
        <f>IF(第三週!$AF$49=0,"",第三週!$AF$49)</f>
        <v/>
      </c>
      <c r="F43" s="82" t="str">
        <f>IF(第三週!$AF$94=0,"",第三週!$AF$94)</f>
        <v/>
      </c>
      <c r="G43" s="82" t="str">
        <f>IF(第三週!$AF$109=0,"",第三週!$AF$109)</f>
        <v/>
      </c>
      <c r="H43" s="82" t="str">
        <f>IF(第三週!$AF$199=0,"",第三週!$AF$199)</f>
        <v/>
      </c>
      <c r="I43" s="473" t="str">
        <f>IF(第三週!$AF$184=0,"",第三週!$AF$184)</f>
        <v/>
      </c>
      <c r="J43" s="481" t="str">
        <f>IF(第三週!$AF$214=0,"",第三週!$AF$214)</f>
        <v/>
      </c>
      <c r="K43" s="481" t="str">
        <f>IF(第三週!$AF$234=0,"",第三週!$AF$234)</f>
        <v/>
      </c>
      <c r="L43" s="488" t="str">
        <f>IF(菜單總表!L43&lt;4.4,4.4+菜單總表!L43/30,菜單總表!L43)</f>
        <v/>
      </c>
      <c r="M43" s="488" t="str">
        <f>IF(菜單總表!M43&lt;2.1,"2.0",菜單總表!M43)</f>
        <v/>
      </c>
      <c r="N43" s="488" t="str">
        <f>IFERROR(SUMPRODUCT(第三週!$AI$4:$AI$259,第三週!$BX$4:$BX$259)/第三週!$AI$2,"")</f>
        <v/>
      </c>
      <c r="O43" s="488" t="str">
        <f>IFERROR(SUMPRODUCT(第三週!$AI$4:$AI$259,第三週!$BY$4:$BY$259)/第三週!$AI$2+2.3,"")</f>
        <v/>
      </c>
      <c r="P43" s="488" t="str">
        <f>IFERROR(SUMPRODUCT(第三週!$AI$4:$AI$259,第三週!$BZ$4:$BZ$259)/第三週!$AI$2,"")</f>
        <v/>
      </c>
      <c r="Q43" s="488" t="str">
        <f>IFERROR(SUMPRODUCT(第三週!$AI$4:$AI$259,第三週!$CA$4:$CA$259)/第三週!$AI$2,"")</f>
        <v/>
      </c>
      <c r="R43" s="490" t="str">
        <f>IFERROR(L43*70+M43*75+N43*25+O43*45+P43*60+Q43*150,"")</f>
        <v/>
      </c>
    </row>
    <row r="44" spans="1:18" s="22" customFormat="1" ht="25.15" customHeight="1">
      <c r="A44" s="476"/>
      <c r="B44" s="478"/>
      <c r="C44" s="480"/>
      <c r="D44" s="21" t="str">
        <f>_xlfn.CONCAT(IF(IFERROR(FIND("素-",第三週!$AG$34),0)=1,"",第三週!$AG$34),IF(OR(第三週!$AG$35=0,IFERROR(FIND("素-",第三週!$AG$35),0)=1),"",","),IF(IFERROR(FIND("素-",第三週!$AG$35),0)=1,"",第三週!$AG$35),IF(OR(第三週!$AG$36=0,IFERROR(FIND("素-",第三週!$AG$36),0)=1),"",","),IF(IFERROR(FIND("素-",第三週!$AG$36),0)=1,"",第三週!$AG$36),IF(OR(第三週!$AG$37=0,IFERROR(FIND("素-",第三週!$AG$37),0)=1),"",","),IF(IFERROR(FIND("素-",第三週!$AG$37),0)=1,"",第三週!$AG$37),IF(OR(第三週!$AG$38=0,IFERROR(FIND("素-",第三週!$AG$38),0)=1),"",","),IF(IFERROR(FIND("素-",第三週!$AG$38),0)=1,"",第三週!$AG$38),IF(OR(第三週!$AG$39=0,IFERROR(FIND("素-",第三週!$AG$39),0)=1),"",","),IF(IFERROR(FIND("素-",第三週!$AG$39),0)=1,"",第三週!$AG$39),IF(OR(第三週!$AG$40=0,IFERROR(FIND("素-",第三週!$AG$40),0)=1),"",","),IF(IFERROR(FIND("素-",第三週!$AG$40),0)=1,"",第三週!$AG$40),IF(OR(第三週!$AG$41=0,IFERROR(FIND("素-",第三週!$AG$41),0)=1),"",","),IF(IFERROR(FIND("素-",第三週!$AG$41),0)=1,"",第三週!$AG$41),IF(OR(第三週!$AG$42=0,IFERROR(FIND("素-",第三週!$AG$42),0)=1),"",","),IF(IFERROR(FIND("素-",第三週!$AG$42),0)=1,"",第三週!$AG$42))</f>
        <v/>
      </c>
      <c r="E44" s="21" t="str">
        <f>_xlfn.CONCAT(IF(IFERROR(FIND("素-",第三週!$AG$49),0)=1,"",第三週!$AG$49),IF(OR(第三週!$AG$50=0,IFERROR(FIND("素-",第三週!$AG$50),0)=1),"",","),IF(IFERROR(FIND("素-",第三週!$AG$50),0)=1,"",第三週!$AG$50),IF(OR(第三週!$AG$51=0,IFERROR(FIND("素-",第三週!$AG$51),0)=1),"",","),IF(IFERROR(FIND("素-",第三週!$AG$51),0)=1,"",第三週!$AG$51),IF(OR(第三週!$AG$52=0,IFERROR(FIND("素-",第三週!$AG$52),0)=1),"",","),IF(IFERROR(FIND("素-",第三週!$AG$52),0)=1,"",第三週!$AG$52),IF(OR(第三週!$AG$53=0,IFERROR(FIND("素-",第三週!$AG$53),0)=1),"",","),IF(IFERROR(FIND("素-",第三週!$AG$53),0)=1,"",第三週!$AG$53),IF(OR(第三週!$AG$54=0,IFERROR(FIND("素-",第三週!$AG$54),0)=1),"",","),IF(IFERROR(FIND("素-",第三週!$AG$54),0)=1,"",第三週!$AG$54),IF(OR(第三週!$AG$55=0,IFERROR(FIND("素-",第三週!$AG$55),0)=1),"",","),IF(IFERROR(FIND("素-",第三週!$AG$55),0)=1,"",第三週!$AG$55))</f>
        <v/>
      </c>
      <c r="F44" s="21" t="str">
        <f>_xlfn.CONCAT(IF(IFERROR(FIND("素-",第三週!$AG$94),0)=1,"",第三週!$AG$94),IF(OR(第三週!$AG$95=0,IFERROR(FIND("素-",第三週!$AG$95),0)=1),"",","),IF(IFERROR(FIND("素-",第三週!$AG$95),0)=1,"",第三週!$AG$95),IF(OR(第三週!$AG$96=0,IFERROR(FIND("素-",第三週!$AG$96),0)=1),"",","),IF(IFERROR(FIND("素-",第三週!$AG$96),0)=1,"",第三週!$AG$96),IF(OR(第三週!$AG$97=0,IFERROR(FIND("素-",第三週!$AG$97),0)=1),"",","),IF(IFERROR(FIND("素-",第三週!$AG$97),0)=1,"",第三週!$AG$97),IF(OR(第三週!$AG$98=0,IFERROR(FIND("素-",第三週!$AG$98),0)=1),"",","),IF(IFERROR(FIND("素-",第三週!$AG$98),0)=1,"",第三週!$AG$98),IF(OR(第三週!$AG$99=0,IFERROR(FIND("素-",第三週!$AG$99),0)=1),"",","),IF(IFERROR(FIND("素-",第三週!$AG$99),0)=1,"",第三週!$AG$99),IF(OR(第三週!$AG$100=0,IFERROR(FIND("素-",第三週!$AG$100),0)=1),"",","),IF(IFERROR(FIND("素-",第三週!$AG$100),0)=1,"",第三週!$AG$100))</f>
        <v/>
      </c>
      <c r="G44" s="21" t="str">
        <f>_xlfn.CONCAT(IF(IFERROR(FIND("素-",第三週!$AG$109),0)=1,"",第三週!$AG$109),IF(OR(第三週!$AG$110=0,IFERROR(FIND("素-",第三週!$AG$110),0)=1),"",","),IF(IFERROR(FIND("素-",第三週!$AG$110),0)=1,"",第三週!$AG$110),IF(OR(第三週!$AG$111=0,IFERROR(FIND("素-",第三週!$AG$111),0)=1),"",","),IF(IFERROR(FIND("素-",第三週!$AG$111),0)=1,"",第三週!$AG$111),IF(OR(第三週!$AG$112=0,IFERROR(FIND("素-",第三週!$AG$112),0)=1),"",","),IF(IFERROR(FIND("素-",第三週!$AG$112),0)=1,"",第三週!$AG$112),IF(OR(第三週!$AG$113=0,IFERROR(FIND("素-",第三週!$AG$113),0)=1),"",","),IF(IFERROR(FIND("素-",第三週!$AG$113),0)=1,"",第三週!$AG$113),IF(OR(第三週!$AG$114=0,IFERROR(FIND("素-",第三週!$AG$114),0)=1),"",","),IF(IFERROR(FIND("素-",第三週!$AG$114),0)=1,"",第三週!$AG$114),IF(OR(第三週!$AG$115=0,IFERROR(FIND("素-",第三週!$AG$115),0)=1),"",","),IF(IFERROR(FIND("素-",第三週!$AG$115),0)=1,"",第三週!$AG$115))</f>
        <v/>
      </c>
      <c r="H44" s="21" t="str">
        <f>_xlfn.CONCAT(IF(IFERROR(FIND("素-",第三週!$AG$199),0)=1,"",第三週!$AG$199),IF(OR(第三週!$AG$200=0,IFERROR(FIND("素-",第三週!$AG$200),0)=1),"",","),IF(IFERROR(FIND("素-",第三週!$AG$200),0)=1,"",第三週!$AG$200),IF(OR(第三週!$AG$201=0,IFERROR(FIND("素-",第三週!$AG$201),0)=1),"",","),IF(IFERROR(FIND("素-",第三週!$AG$201),0)=1,"",第三週!$AG$201),IF(OR(第三週!$AG$202=0,IFERROR(FIND("素-",第三週!$AG$202),0)=1),"",","),IF(IFERROR(FIND("素-",第三週!$AG$202),0)=1,"",第三週!$AG$202),IF(OR(第三週!$AG$203=0,IFERROR(FIND("素-",第三週!$AG$203),0)=1),"",","),IF(IFERROR(FIND("素-",第三週!$AG$203),0)=1,"",第三週!$AG$203),IF(OR(第三週!$AG$204=0,IFERROR(FIND("素-",第三週!$AG$204),0)=1),"",","),IF(IFERROR(FIND("素-",第三週!$AG$204),0)=1,"",第三週!$AG$204),IF(OR(第三週!$AG$205=0,IFERROR(FIND("素-",第三週!$AG$205),0)=1),"",","),IF(IFERROR(FIND("素-",第三週!$AG$205),0)=1,"",第三週!$AG$205),IF(OR(第三週!$AG$206=0,IFERROR(FIND("素-",第三週!$AG$206),0)=1),"",","),IF(IFERROR(FIND("素-",第三週!$AG$206),0)=1,"",第三週!$AG$206))</f>
        <v/>
      </c>
      <c r="I44" s="474"/>
      <c r="J44" s="482"/>
      <c r="K44" s="482"/>
      <c r="L44" s="489"/>
      <c r="M44" s="489"/>
      <c r="N44" s="489"/>
      <c r="O44" s="489"/>
      <c r="P44" s="489"/>
      <c r="Q44" s="489"/>
      <c r="R44" s="491"/>
    </row>
    <row r="45" spans="1:18" ht="49.9" customHeight="1">
      <c r="A45" s="475"/>
      <c r="B45" s="477" t="s">
        <v>39</v>
      </c>
      <c r="C45" s="479"/>
      <c r="D45" s="81"/>
      <c r="E45" s="81"/>
      <c r="F45" s="81"/>
      <c r="G45" s="84"/>
      <c r="H45" s="84"/>
      <c r="I45" s="473"/>
      <c r="J45" s="481"/>
      <c r="K45" s="481"/>
      <c r="L45" s="492"/>
      <c r="M45" s="492"/>
      <c r="N45" s="492"/>
      <c r="O45" s="492"/>
      <c r="P45" s="492"/>
      <c r="Q45" s="492"/>
      <c r="R45" s="490"/>
    </row>
    <row r="46" spans="1:18" s="22" customFormat="1" ht="25.15" customHeight="1">
      <c r="A46" s="476"/>
      <c r="B46" s="478"/>
      <c r="C46" s="480"/>
      <c r="D46" s="21"/>
      <c r="E46" s="21"/>
      <c r="F46" s="21"/>
      <c r="G46" s="21"/>
      <c r="H46" s="21"/>
      <c r="I46" s="474"/>
      <c r="J46" s="482"/>
      <c r="K46" s="482"/>
      <c r="L46" s="493"/>
      <c r="M46" s="493"/>
      <c r="N46" s="493"/>
      <c r="O46" s="493"/>
      <c r="P46" s="493"/>
      <c r="Q46" s="493"/>
      <c r="R46" s="491"/>
    </row>
    <row r="47" spans="1:18" ht="49.9" customHeight="1">
      <c r="A47" s="475" t="e">
        <f>IF(#REF!=0,"",#REF!)</f>
        <v>#REF!</v>
      </c>
      <c r="B47" s="477" t="s">
        <v>22</v>
      </c>
      <c r="C47" s="479" t="e">
        <f>IF(#REF!=0,"",#REF!)</f>
        <v>#REF!</v>
      </c>
      <c r="D47" s="81" t="e">
        <f>IF(#REF!=0,"",#REF!)</f>
        <v>#REF!</v>
      </c>
      <c r="E47" s="81" t="e">
        <f>IF(#REF!=0,"",#REF!)</f>
        <v>#REF!</v>
      </c>
      <c r="F47" s="82" t="e">
        <f>IF(#REF!=0,"",#REF!)</f>
        <v>#REF!</v>
      </c>
      <c r="G47" s="82" t="e">
        <f>IF(#REF!=0,"",#REF!)</f>
        <v>#REF!</v>
      </c>
      <c r="H47" s="82" t="e">
        <f>IF(#REF!=0,"",#REF!)</f>
        <v>#REF!</v>
      </c>
      <c r="I47" s="473" t="e">
        <f>IF(#REF!=0,"",#REF!)</f>
        <v>#REF!</v>
      </c>
      <c r="J47" s="481" t="e">
        <f>IF(#REF!=0,"",#REF!)</f>
        <v>#REF!</v>
      </c>
      <c r="K47" s="481" t="e">
        <f>IF(#REF!=0,"",#REF!)</f>
        <v>#REF!</v>
      </c>
      <c r="L47" s="488">
        <f>_xlfn.IFS(菜單總表!L47&lt;4.5,4.5,5.5&lt;菜單總表!L47,5.5,AND(4.5&lt;菜單總表!L47,菜單總表!L47&lt;5.7),菜單總表!L47)</f>
        <v>5.5</v>
      </c>
      <c r="M47" s="488">
        <f>_xlfn.IFS(菜單總表!M47&lt;2.1,2,3&lt;菜單總表!M47,3,AND(2.1&lt;菜單總表!M47,菜單總表!M47&lt;3),菜單總表!M47)</f>
        <v>3</v>
      </c>
      <c r="N47" s="488" t="str">
        <f>IF(菜單總表!N47&lt;1.5,1.5+菜單總表!N47/30,菜單總表!N47)</f>
        <v/>
      </c>
      <c r="O47" s="488" t="str">
        <f>菜單總表!O47</f>
        <v/>
      </c>
      <c r="P47" s="488" t="str">
        <f>IFERROR(SUMPRODUCT(#REF!,#REF!)/#REF!,"")</f>
        <v/>
      </c>
      <c r="Q47" s="488" t="str">
        <f>IFERROR(SUMPRODUCT(#REF!,#REF!)/#REF!,"")</f>
        <v/>
      </c>
      <c r="R47" s="490" t="str">
        <f>IFERROR(L47*70+M47*75+N47*25+O47*45+P47*60+Q47*150,"")</f>
        <v/>
      </c>
    </row>
    <row r="48" spans="1:18" s="22" customFormat="1" ht="25.15" customHeight="1">
      <c r="A48" s="476"/>
      <c r="B48" s="478"/>
      <c r="C48" s="480"/>
      <c r="D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4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48" s="474"/>
      <c r="J48" s="482"/>
      <c r="K48" s="482"/>
      <c r="L48" s="489"/>
      <c r="M48" s="489"/>
      <c r="N48" s="489"/>
      <c r="O48" s="489"/>
      <c r="P48" s="489"/>
      <c r="Q48" s="489"/>
      <c r="R48" s="491"/>
    </row>
    <row r="49" spans="1:18" ht="49.9" customHeight="1">
      <c r="A49" s="475" t="e">
        <f>IF(#REF!=0,"",#REF!)</f>
        <v>#REF!</v>
      </c>
      <c r="B49" s="477" t="s">
        <v>23</v>
      </c>
      <c r="C49" s="479" t="e">
        <f>IF(#REF!=0,"",#REF!)</f>
        <v>#REF!</v>
      </c>
      <c r="D49" s="81" t="e">
        <f>IF(#REF!=0,"",#REF!)</f>
        <v>#REF!</v>
      </c>
      <c r="E49" s="81" t="e">
        <f>IF(#REF!=0,"",#REF!)</f>
        <v>#REF!</v>
      </c>
      <c r="F49" s="82" t="e">
        <f>IF(#REF!=0,"",#REF!)</f>
        <v>#REF!</v>
      </c>
      <c r="G49" s="82" t="e">
        <f>IF(#REF!=0,"",#REF!)</f>
        <v>#REF!</v>
      </c>
      <c r="H49" s="82" t="e">
        <f>IF(#REF!=0,"",#REF!)</f>
        <v>#REF!</v>
      </c>
      <c r="I49" s="473" t="e">
        <f>IF(#REF!=0,"",#REF!)</f>
        <v>#REF!</v>
      </c>
      <c r="J49" s="481" t="e">
        <f>IF(#REF!=0,"",#REF!)</f>
        <v>#REF!</v>
      </c>
      <c r="K49" s="481" t="e">
        <f>IF(#REF!=0,"",#REF!)</f>
        <v>#REF!</v>
      </c>
      <c r="L49" s="488">
        <f>_xlfn.IFS(菜單總表!L49&lt;4.5,4.5,5.5&lt;菜單總表!L49,5.5,AND(4.5&lt;菜單總表!L49,菜單總表!L49&lt;5.7),菜單總表!L49)</f>
        <v>5.5</v>
      </c>
      <c r="M49" s="488">
        <f>_xlfn.IFS(菜單總表!M49&lt;2.1,2,3&lt;菜單總表!M49,3,AND(2.1&lt;菜單總表!M49,菜單總表!M49&lt;3),菜單總表!M49)</f>
        <v>3</v>
      </c>
      <c r="N49" s="488" t="str">
        <f>IF(菜單總表!N49&lt;1.5,1.5+菜單總表!N49/30,菜單總表!N49)</f>
        <v/>
      </c>
      <c r="O49" s="488" t="str">
        <f>菜單總表!O49</f>
        <v/>
      </c>
      <c r="P49" s="488" t="str">
        <f>IFERROR(SUMPRODUCT(#REF!,#REF!)/#REF!,"")</f>
        <v/>
      </c>
      <c r="Q49" s="488" t="str">
        <f>IFERROR(SUMPRODUCT(#REF!,#REF!)/#REF!,"")</f>
        <v/>
      </c>
      <c r="R49" s="490" t="str">
        <f>IFERROR(L49*70+M49*75+N49*25+O49*45+P49*60+Q49*150,"")</f>
        <v/>
      </c>
    </row>
    <row r="50" spans="1:18" s="22" customFormat="1" ht="25.15" customHeight="1">
      <c r="A50" s="476"/>
      <c r="B50" s="478"/>
      <c r="C50" s="480"/>
      <c r="D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0" s="474"/>
      <c r="J50" s="482"/>
      <c r="K50" s="482"/>
      <c r="L50" s="489"/>
      <c r="M50" s="489"/>
      <c r="N50" s="489"/>
      <c r="O50" s="489"/>
      <c r="P50" s="489"/>
      <c r="Q50" s="489"/>
      <c r="R50" s="491"/>
    </row>
    <row r="51" spans="1:18" ht="49.9" customHeight="1">
      <c r="A51" s="475" t="e">
        <f>IF(#REF!=0,"",#REF!)</f>
        <v>#REF!</v>
      </c>
      <c r="B51" s="477" t="s">
        <v>24</v>
      </c>
      <c r="C51" s="479" t="e">
        <f>IF(#REF!=0,"",#REF!)</f>
        <v>#REF!</v>
      </c>
      <c r="D51" s="81" t="e">
        <f>IF(#REF!=0,"",#REF!)</f>
        <v>#REF!</v>
      </c>
      <c r="E51" s="81" t="e">
        <f>IF(#REF!=0,"",#REF!)</f>
        <v>#REF!</v>
      </c>
      <c r="F51" s="82"/>
      <c r="G51" s="82" t="e">
        <f>IF(#REF!=0,"",#REF!)</f>
        <v>#REF!</v>
      </c>
      <c r="H51" s="82" t="e">
        <f>IF(#REF!=0,"",#REF!)</f>
        <v>#REF!</v>
      </c>
      <c r="I51" s="473" t="e">
        <f>IF(#REF!=0,"",#REF!)</f>
        <v>#REF!</v>
      </c>
      <c r="J51" s="481" t="e">
        <f>IF(#REF!=0,"",#REF!)</f>
        <v>#REF!</v>
      </c>
      <c r="K51" s="481" t="e">
        <f>IF(#REF!=0,"",#REF!)</f>
        <v>#REF!</v>
      </c>
      <c r="L51" s="488">
        <f>_xlfn.IFS(菜單總表!L51&lt;4.5,4.5,5.5&lt;菜單總表!L51,5.5,AND(4.5&lt;菜單總表!L51,菜單總表!L51&lt;5.7),菜單總表!L51)</f>
        <v>5.5</v>
      </c>
      <c r="M51" s="488">
        <f>_xlfn.IFS(菜單總表!M51&lt;2.1,2,3&lt;菜單總表!M51,3,AND(2.1&lt;菜單總表!M51,菜單總表!M51&lt;3),菜單總表!M51)</f>
        <v>3</v>
      </c>
      <c r="N51" s="488" t="str">
        <f>IF(菜單總表!N51&lt;1.5,1.5+菜單總表!N51/30,菜單總表!N51)</f>
        <v/>
      </c>
      <c r="O51" s="488" t="str">
        <f>菜單總表!O51</f>
        <v/>
      </c>
      <c r="P51" s="488" t="str">
        <f>IFERROR(SUMPRODUCT(#REF!,#REF!)/#REF!,"")</f>
        <v/>
      </c>
      <c r="Q51" s="488" t="str">
        <f>IFERROR(SUMPRODUCT(#REF!,#REF!)/#REF!,"")</f>
        <v/>
      </c>
      <c r="R51" s="490" t="str">
        <f>IFERROR(L51*70+M51*75+N51*25+O51*45+P51*60+Q51*150,"")</f>
        <v/>
      </c>
    </row>
    <row r="52" spans="1:18" s="22" customFormat="1" ht="25.15" customHeight="1">
      <c r="A52" s="476"/>
      <c r="B52" s="478"/>
      <c r="C52" s="480"/>
      <c r="D5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2" s="21"/>
      <c r="G5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2" s="474"/>
      <c r="J52" s="482"/>
      <c r="K52" s="482"/>
      <c r="L52" s="489"/>
      <c r="M52" s="489"/>
      <c r="N52" s="489"/>
      <c r="O52" s="489"/>
      <c r="P52" s="489"/>
      <c r="Q52" s="489"/>
      <c r="R52" s="491"/>
    </row>
    <row r="53" spans="1:18" ht="49.9" customHeight="1">
      <c r="A53" s="475" t="e">
        <f>IF(#REF!=0,"",#REF!)</f>
        <v>#REF!</v>
      </c>
      <c r="B53" s="477" t="s">
        <v>25</v>
      </c>
      <c r="C53" s="479" t="e">
        <f>IF(#REF!=0,"",#REF!)</f>
        <v>#REF!</v>
      </c>
      <c r="D53" s="81" t="e">
        <f>IF(#REF!=0,"",#REF!)</f>
        <v>#REF!</v>
      </c>
      <c r="E53" s="81" t="e">
        <f>IF(#REF!=0,"",#REF!)</f>
        <v>#REF!</v>
      </c>
      <c r="F53" s="82" t="e">
        <f>IF(#REF!=0,"",#REF!)</f>
        <v>#REF!</v>
      </c>
      <c r="G53" s="82" t="e">
        <f>IF(#REF!=0,"",#REF!)</f>
        <v>#REF!</v>
      </c>
      <c r="H53" s="82" t="e">
        <f>IF(#REF!=0,"",#REF!)</f>
        <v>#REF!</v>
      </c>
      <c r="I53" s="473" t="e">
        <f>IF(#REF!=0,"",#REF!)</f>
        <v>#REF!</v>
      </c>
      <c r="J53" s="481" t="e">
        <f>IF(#REF!=0,"",#REF!)</f>
        <v>#REF!</v>
      </c>
      <c r="K53" s="481" t="e">
        <f>IF(#REF!=0,"",#REF!)</f>
        <v>#REF!</v>
      </c>
      <c r="L53" s="488">
        <f>_xlfn.IFS(菜單總表!L53&lt;4.5,4.5,5.5&lt;菜單總表!L53,5.5,AND(4.5&lt;菜單總表!L53,菜單總表!L53&lt;5.7),菜單總表!L53)</f>
        <v>5.5</v>
      </c>
      <c r="M53" s="488">
        <f>_xlfn.IFS(菜單總表!M53&lt;2.1,2,3&lt;菜單總表!M53,3,AND(2.1&lt;菜單總表!M53,菜單總表!M53&lt;3),菜單總表!M53)</f>
        <v>3</v>
      </c>
      <c r="N53" s="488" t="str">
        <f>IF(菜單總表!N53&lt;1.5,1.5+菜單總表!N53/30,菜單總表!N53)</f>
        <v/>
      </c>
      <c r="O53" s="488" t="str">
        <f>菜單總表!O53</f>
        <v/>
      </c>
      <c r="P53" s="488" t="str">
        <f>IFERROR(SUMPRODUCT(#REF!,#REF!)/#REF!,"")</f>
        <v/>
      </c>
      <c r="Q53" s="488" t="str">
        <f>IFERROR(SUMPRODUCT(#REF!,#REF!)/#REF!,"")</f>
        <v/>
      </c>
      <c r="R53" s="490" t="str">
        <f>IFERROR(L53*70+M53*75+N53*25+O53*45+P53*60+Q53*150,"")</f>
        <v/>
      </c>
    </row>
    <row r="54" spans="1:18" s="22" customFormat="1" ht="25.15" customHeight="1">
      <c r="A54" s="476"/>
      <c r="B54" s="478"/>
      <c r="C54" s="480"/>
      <c r="D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4" s="474"/>
      <c r="J54" s="482"/>
      <c r="K54" s="482"/>
      <c r="L54" s="489"/>
      <c r="M54" s="489"/>
      <c r="N54" s="489"/>
      <c r="O54" s="489"/>
      <c r="P54" s="489"/>
      <c r="Q54" s="489"/>
      <c r="R54" s="491"/>
    </row>
    <row r="55" spans="1:18" ht="49.9" customHeight="1">
      <c r="A55" s="475" t="e">
        <f>IF(#REF!=0,"",#REF!)</f>
        <v>#REF!</v>
      </c>
      <c r="B55" s="477" t="s">
        <v>37</v>
      </c>
      <c r="C55" s="479" t="e">
        <f>IF(#REF!=0,"",#REF!)</f>
        <v>#REF!</v>
      </c>
      <c r="D55" s="81" t="e">
        <f>IF(#REF!=0,"",#REF!)</f>
        <v>#REF!</v>
      </c>
      <c r="E55" s="81" t="e">
        <f>IF(#REF!=0,"",#REF!)</f>
        <v>#REF!</v>
      </c>
      <c r="F55" s="82" t="e">
        <f>IF(#REF!=0,"",#REF!)</f>
        <v>#REF!</v>
      </c>
      <c r="G55" s="82" t="e">
        <f>IF(#REF!=0,"",#REF!)</f>
        <v>#REF!</v>
      </c>
      <c r="H55" s="82" t="e">
        <f>IF(#REF!=0,"",#REF!)</f>
        <v>#REF!</v>
      </c>
      <c r="I55" s="473" t="e">
        <f>IF(#REF!=0,"",#REF!)</f>
        <v>#REF!</v>
      </c>
      <c r="J55" s="481" t="e">
        <f>IF(#REF!=0,"",#REF!)</f>
        <v>#REF!</v>
      </c>
      <c r="K55" s="481" t="e">
        <f>IF(#REF!=0,"",#REF!)</f>
        <v>#REF!</v>
      </c>
      <c r="L55" s="488">
        <f>_xlfn.IFS(菜單總表!L55&lt;4.5,4.5,5.5&lt;菜單總表!L55,5.5,AND(4.5&lt;菜單總表!L55,菜單總表!L55&lt;5.7),菜單總表!L55)</f>
        <v>5.5</v>
      </c>
      <c r="M55" s="488">
        <f>_xlfn.IFS(菜單總表!M55&lt;2.1,2,3&lt;菜單總表!M55,3,AND(2.1&lt;菜單總表!M55,菜單總表!M55&lt;3),菜單總表!M55)</f>
        <v>3</v>
      </c>
      <c r="N55" s="488" t="str">
        <f>IF(菜單總表!N55&lt;1.5,1.5+菜單總表!N55/30,菜單總表!N55)</f>
        <v/>
      </c>
      <c r="O55" s="488" t="str">
        <f>菜單總表!O55</f>
        <v/>
      </c>
      <c r="P55" s="488" t="str">
        <f>IFERROR(SUMPRODUCT(#REF!,#REF!)/#REF!,"")</f>
        <v/>
      </c>
      <c r="Q55" s="488" t="str">
        <f>IFERROR(SUMPRODUCT(#REF!,#REF!)/#REF!,"")</f>
        <v/>
      </c>
      <c r="R55" s="490" t="str">
        <f>IFERROR(L55*70+M55*75+N55*25+O55*45+P55*60+Q55*150,"")</f>
        <v/>
      </c>
    </row>
    <row r="56" spans="1:18" s="22" customFormat="1" ht="25.15" customHeight="1">
      <c r="A56" s="476"/>
      <c r="B56" s="478"/>
      <c r="C56" s="480"/>
      <c r="D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6" s="474"/>
      <c r="J56" s="482"/>
      <c r="K56" s="482"/>
      <c r="L56" s="489"/>
      <c r="M56" s="489"/>
      <c r="N56" s="489"/>
      <c r="O56" s="489"/>
      <c r="P56" s="489"/>
      <c r="Q56" s="489"/>
      <c r="R56" s="491"/>
    </row>
    <row r="57" spans="1:18" ht="49.9" customHeight="1">
      <c r="A57" s="475" t="e">
        <f>IF(#REF!=0,"",#REF!)</f>
        <v>#REF!</v>
      </c>
      <c r="B57" s="477" t="s">
        <v>38</v>
      </c>
      <c r="C57" s="479" t="e">
        <f>IF(#REF!=0,"",#REF!)</f>
        <v>#REF!</v>
      </c>
      <c r="D57" s="81" t="e">
        <f>IF(#REF!=0,"",#REF!)</f>
        <v>#REF!</v>
      </c>
      <c r="E57" s="81" t="e">
        <f>IF(#REF!=0,"",#REF!)</f>
        <v>#REF!</v>
      </c>
      <c r="F57" s="82" t="e">
        <f>IF(#REF!=0,"",#REF!)</f>
        <v>#REF!</v>
      </c>
      <c r="G57" s="82" t="e">
        <f>IF(#REF!=0,"",#REF!)</f>
        <v>#REF!</v>
      </c>
      <c r="H57" s="82" t="e">
        <f>IF(#REF!=0,"",#REF!)</f>
        <v>#REF!</v>
      </c>
      <c r="I57" s="473" t="e">
        <f>IF(#REF!=0,"",#REF!)</f>
        <v>#REF!</v>
      </c>
      <c r="J57" s="481" t="e">
        <f>IF(#REF!=0,"",#REF!)</f>
        <v>#REF!</v>
      </c>
      <c r="K57" s="481" t="e">
        <f>IF(#REF!=0,"",#REF!)</f>
        <v>#REF!</v>
      </c>
      <c r="L57" s="488">
        <f>_xlfn.IFS(菜單總表!L57&lt;4.5,4.5,5.5&lt;菜單總表!L57,5.5,AND(4.5&lt;菜單總表!L57,菜單總表!L57&lt;5.7),菜單總表!L57)</f>
        <v>5.5</v>
      </c>
      <c r="M57" s="488">
        <f>_xlfn.IFS(菜單總表!M57&lt;2.1,2,3&lt;菜單總表!M57,3,AND(2.1&lt;菜單總表!M57,菜單總表!M57&lt;3),菜單總表!M57)</f>
        <v>3</v>
      </c>
      <c r="N57" s="488" t="str">
        <f>IF(菜單總表!N57&lt;1.5,1.5+菜單總表!N57/30,菜單總表!N57)</f>
        <v/>
      </c>
      <c r="O57" s="488" t="str">
        <f>菜單總表!O57</f>
        <v/>
      </c>
      <c r="P57" s="488" t="str">
        <f>IFERROR(SUMPRODUCT(#REF!,#REF!)/#REF!,"")</f>
        <v/>
      </c>
      <c r="Q57" s="488" t="str">
        <f>IFERROR(SUMPRODUCT(#REF!,#REF!)/#REF!,"")</f>
        <v/>
      </c>
      <c r="R57" s="490" t="str">
        <f>IFERROR(L57*70+M57*75+N57*25+O57*45+P57*60+Q57*150,"")</f>
        <v/>
      </c>
    </row>
    <row r="58" spans="1:18" s="22" customFormat="1" ht="25.15" customHeight="1">
      <c r="A58" s="476"/>
      <c r="B58" s="478"/>
      <c r="C58" s="480"/>
      <c r="D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5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58" s="474"/>
      <c r="J58" s="482"/>
      <c r="K58" s="482"/>
      <c r="L58" s="489"/>
      <c r="M58" s="489"/>
      <c r="N58" s="489"/>
      <c r="O58" s="489"/>
      <c r="P58" s="489"/>
      <c r="Q58" s="489"/>
      <c r="R58" s="491"/>
    </row>
    <row r="59" spans="1:18" ht="49.9" customHeight="1">
      <c r="A59" s="475"/>
      <c r="B59" s="477" t="s">
        <v>39</v>
      </c>
      <c r="C59" s="479"/>
      <c r="D59" s="81"/>
      <c r="E59" s="81"/>
      <c r="F59" s="81"/>
      <c r="G59" s="81"/>
      <c r="H59" s="81"/>
      <c r="I59" s="473"/>
      <c r="J59" s="481"/>
      <c r="K59" s="481"/>
      <c r="L59" s="492"/>
      <c r="M59" s="492"/>
      <c r="N59" s="492"/>
      <c r="O59" s="492"/>
      <c r="P59" s="492"/>
      <c r="Q59" s="492"/>
      <c r="R59" s="490"/>
    </row>
    <row r="60" spans="1:18" s="22" customFormat="1" ht="25.15" customHeight="1">
      <c r="A60" s="476"/>
      <c r="B60" s="478"/>
      <c r="C60" s="480"/>
      <c r="D60" s="21"/>
      <c r="E60" s="21"/>
      <c r="F60" s="21"/>
      <c r="G60" s="21"/>
      <c r="H60" s="21"/>
      <c r="I60" s="474"/>
      <c r="J60" s="482"/>
      <c r="K60" s="482"/>
      <c r="L60" s="493"/>
      <c r="M60" s="493"/>
      <c r="N60" s="493"/>
      <c r="O60" s="493"/>
      <c r="P60" s="493"/>
      <c r="Q60" s="493"/>
      <c r="R60" s="491"/>
    </row>
    <row r="61" spans="1:18" ht="49.9" customHeight="1">
      <c r="A61" s="475" t="e">
        <f>IF(#REF!=0,"",#REF!)</f>
        <v>#REF!</v>
      </c>
      <c r="B61" s="477" t="s">
        <v>22</v>
      </c>
      <c r="C61" s="479" t="e">
        <f>IF(#REF!=0,"",#REF!)</f>
        <v>#REF!</v>
      </c>
      <c r="D61" s="81" t="e">
        <f>IF(#REF!=0,"",#REF!)</f>
        <v>#REF!</v>
      </c>
      <c r="E61" s="81" t="e">
        <f>IF(#REF!=0,"",#REF!)</f>
        <v>#REF!</v>
      </c>
      <c r="F61" s="82" t="e">
        <f>IF(#REF!=0,"",#REF!)</f>
        <v>#REF!</v>
      </c>
      <c r="G61" s="82" t="e">
        <f>IF(#REF!=0,"",#REF!)</f>
        <v>#REF!</v>
      </c>
      <c r="H61" s="82" t="e">
        <f>IF(#REF!=0,"",#REF!)</f>
        <v>#REF!</v>
      </c>
      <c r="I61" s="473" t="e">
        <f>IF(#REF!=0,"",#REF!)</f>
        <v>#REF!</v>
      </c>
      <c r="J61" s="481" t="e">
        <f>IF(#REF!=0,"",#REF!)</f>
        <v>#REF!</v>
      </c>
      <c r="K61" s="481" t="e">
        <f>IF(#REF!=0,"",#REF!)</f>
        <v>#REF!</v>
      </c>
      <c r="L61" s="488">
        <f>_xlfn.IFS(菜單總表!L61&lt;4.5,4.5,5.5&lt;菜單總表!L61,5.5,AND(4.5&lt;菜單總表!L61,菜單總表!L61&lt;5.7),菜單總表!L61)</f>
        <v>5.5</v>
      </c>
      <c r="M61" s="488">
        <f>_xlfn.IFS(菜單總表!M61&lt;2.1,2,3&lt;菜單總表!M61,3,AND(2.1&lt;菜單總表!M61,菜單總表!M61&lt;3),菜單總表!M61)</f>
        <v>3</v>
      </c>
      <c r="N61" s="488" t="str">
        <f>IF(菜單總表!N61&lt;1.5,1.5+菜單總表!N61/30,菜單總表!N61)</f>
        <v/>
      </c>
      <c r="O61" s="488" t="str">
        <f>菜單總表!O61</f>
        <v/>
      </c>
      <c r="P61" s="488" t="str">
        <f>IFERROR(SUMPRODUCT(#REF!,#REF!)/#REF!,"")</f>
        <v/>
      </c>
      <c r="Q61" s="488" t="str">
        <f>IFERROR(SUMPRODUCT(#REF!,#REF!)/#REF!,"")</f>
        <v/>
      </c>
      <c r="R61" s="490" t="str">
        <f>IFERROR(L61*70+M61*75+N61*25+O61*45+P61*60+Q61*150,"")</f>
        <v/>
      </c>
    </row>
    <row r="62" spans="1:18" s="22" customFormat="1" ht="25.15" customHeight="1">
      <c r="A62" s="476"/>
      <c r="B62" s="478"/>
      <c r="C62" s="480"/>
      <c r="D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6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62" s="474"/>
      <c r="J62" s="482"/>
      <c r="K62" s="482"/>
      <c r="L62" s="489"/>
      <c r="M62" s="489"/>
      <c r="N62" s="489"/>
      <c r="O62" s="489"/>
      <c r="P62" s="489"/>
      <c r="Q62" s="489"/>
      <c r="R62" s="491"/>
    </row>
    <row r="63" spans="1:18" ht="49.9" customHeight="1">
      <c r="A63" s="475" t="e">
        <f>IF(#REF!=0,"",#REF!)</f>
        <v>#REF!</v>
      </c>
      <c r="B63" s="477" t="s">
        <v>23</v>
      </c>
      <c r="C63" s="479" t="e">
        <f>IF(#REF!=0,"",#REF!)</f>
        <v>#REF!</v>
      </c>
      <c r="D63" s="81" t="e">
        <f>IF(#REF!=0,"",#REF!)</f>
        <v>#REF!</v>
      </c>
      <c r="E63" s="81" t="e">
        <f>IF(#REF!=0,"",#REF!)</f>
        <v>#REF!</v>
      </c>
      <c r="F63" s="82" t="e">
        <f>IF(#REF!=0,"",#REF!)</f>
        <v>#REF!</v>
      </c>
      <c r="G63" s="82" t="e">
        <f>IF(#REF!=0,"",#REF!)</f>
        <v>#REF!</v>
      </c>
      <c r="H63" s="82" t="e">
        <f>IF(#REF!=0,"",#REF!)</f>
        <v>#REF!</v>
      </c>
      <c r="I63" s="473" t="e">
        <f>IF(#REF!=0,"",#REF!)</f>
        <v>#REF!</v>
      </c>
      <c r="J63" s="481" t="e">
        <f>IF(#REF!=0,"",#REF!)</f>
        <v>#REF!</v>
      </c>
      <c r="K63" s="481" t="e">
        <f>IF(#REF!=0,"",#REF!)</f>
        <v>#REF!</v>
      </c>
      <c r="L63" s="488">
        <f>_xlfn.IFS(菜單總表!L63&lt;4.5,4.5,5.5&lt;菜單總表!L63,5.5,AND(4.5&lt;菜單總表!L63,菜單總表!L63&lt;5.7),菜單總表!L63)</f>
        <v>5.5</v>
      </c>
      <c r="M63" s="488">
        <f>_xlfn.IFS(菜單總表!M63&lt;2.1,2,3&lt;菜單總表!M63,3,AND(2.1&lt;菜單總表!M63,菜單總表!M63&lt;3),菜單總表!M63)</f>
        <v>3</v>
      </c>
      <c r="N63" s="488" t="str">
        <f>IF(菜單總表!N63&lt;1.5,1.5+菜單總表!N63/30,菜單總表!N63)</f>
        <v/>
      </c>
      <c r="O63" s="488" t="str">
        <f>菜單總表!O63</f>
        <v/>
      </c>
      <c r="P63" s="488" t="str">
        <f>IFERROR(SUMPRODUCT(#REF!,#REF!)/#REF!,"")</f>
        <v/>
      </c>
      <c r="Q63" s="488" t="str">
        <f>IFERROR(SUMPRODUCT(#REF!,#REF!)/#REF!,"")</f>
        <v/>
      </c>
      <c r="R63" s="490" t="str">
        <f>IFERROR(L63*70+M63*75+N63*25+O63*45+P63*60+Q63*150,"")</f>
        <v/>
      </c>
    </row>
    <row r="64" spans="1:18" s="22" customFormat="1" ht="25.15" customHeight="1">
      <c r="A64" s="476"/>
      <c r="B64" s="478"/>
      <c r="C64" s="480"/>
      <c r="D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64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64" s="474"/>
      <c r="J64" s="482"/>
      <c r="K64" s="482"/>
      <c r="L64" s="489"/>
      <c r="M64" s="489"/>
      <c r="N64" s="489"/>
      <c r="O64" s="489"/>
      <c r="P64" s="489"/>
      <c r="Q64" s="489"/>
      <c r="R64" s="491"/>
    </row>
    <row r="65" spans="1:18" ht="49.9" customHeight="1">
      <c r="A65" s="475" t="e">
        <f>IF(#REF!=0,"",#REF!)</f>
        <v>#REF!</v>
      </c>
      <c r="B65" s="477" t="s">
        <v>24</v>
      </c>
      <c r="C65" s="479" t="e">
        <f>IF(#REF!=0,"",#REF!)</f>
        <v>#REF!</v>
      </c>
      <c r="D65" s="81" t="e">
        <f>IF(#REF!=0,"",#REF!)</f>
        <v>#REF!</v>
      </c>
      <c r="E65" s="81" t="e">
        <f>IF(#REF!=0,"",#REF!)</f>
        <v>#REF!</v>
      </c>
      <c r="F65" s="82"/>
      <c r="G65" s="82" t="e">
        <f>IF(#REF!=0,"",#REF!)</f>
        <v>#REF!</v>
      </c>
      <c r="H65" s="82" t="e">
        <f>IF(#REF!=0,"",#REF!)</f>
        <v>#REF!</v>
      </c>
      <c r="I65" s="473" t="e">
        <f>IF(#REF!=0,"",#REF!)</f>
        <v>#REF!</v>
      </c>
      <c r="J65" s="481" t="e">
        <f>IF(#REF!=0,"",#REF!)</f>
        <v>#REF!</v>
      </c>
      <c r="K65" s="481" t="e">
        <f>IF(#REF!=0,"",#REF!)</f>
        <v>#REF!</v>
      </c>
      <c r="L65" s="488">
        <f>_xlfn.IFS(菜單總表!L65&lt;4.5,4.5,5.5&lt;菜單總表!L65,5.5,AND(4.5&lt;菜單總表!L65,菜單總表!L65&lt;5.7),菜單總表!L65)</f>
        <v>5.5</v>
      </c>
      <c r="M65" s="488">
        <f>_xlfn.IFS(菜單總表!M65&lt;2.1,2,3&lt;菜單總表!M65,3,AND(2.1&lt;菜單總表!M65,菜單總表!M65&lt;3),菜單總表!M65)</f>
        <v>3</v>
      </c>
      <c r="N65" s="488" t="str">
        <f>IF(菜單總表!N65&lt;1.5,1.5+菜單總表!N65/30,菜單總表!N65)</f>
        <v/>
      </c>
      <c r="O65" s="488" t="str">
        <f>菜單總表!O65</f>
        <v/>
      </c>
      <c r="P65" s="488" t="str">
        <f>IFERROR(SUMPRODUCT(#REF!,#REF!)/#REF!,"")</f>
        <v/>
      </c>
      <c r="Q65" s="488" t="str">
        <f>IFERROR(SUMPRODUCT(#REF!,#REF!)/#REF!,"")</f>
        <v/>
      </c>
      <c r="R65" s="490" t="str">
        <f>IFERROR(L65*70+M65*75+N65*25+O65*45+P65*60+Q65*150,"")</f>
        <v/>
      </c>
    </row>
    <row r="66" spans="1:18" s="22" customFormat="1" ht="25.15" customHeight="1">
      <c r="A66" s="476"/>
      <c r="B66" s="478"/>
      <c r="C66" s="480"/>
      <c r="D6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6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66" s="21"/>
      <c r="G6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66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66" s="474"/>
      <c r="J66" s="482"/>
      <c r="K66" s="482"/>
      <c r="L66" s="489"/>
      <c r="M66" s="489"/>
      <c r="N66" s="489"/>
      <c r="O66" s="489"/>
      <c r="P66" s="489"/>
      <c r="Q66" s="489"/>
      <c r="R66" s="491"/>
    </row>
    <row r="67" spans="1:18" ht="49.9" customHeight="1">
      <c r="A67" s="475" t="e">
        <f>IF(#REF!=0,"",#REF!)</f>
        <v>#REF!</v>
      </c>
      <c r="B67" s="477" t="s">
        <v>25</v>
      </c>
      <c r="C67" s="479" t="e">
        <f>IF(#REF!=0,"",#REF!)</f>
        <v>#REF!</v>
      </c>
      <c r="D67" s="81" t="e">
        <f>IF(#REF!=0,"",#REF!)</f>
        <v>#REF!</v>
      </c>
      <c r="E67" s="81" t="e">
        <f>IF(#REF!=0,"",#REF!)</f>
        <v>#REF!</v>
      </c>
      <c r="F67" s="82" t="e">
        <f>IF(#REF!=0,"",#REF!)</f>
        <v>#REF!</v>
      </c>
      <c r="G67" s="82" t="e">
        <f>IF(#REF!=0,"",#REF!)</f>
        <v>#REF!</v>
      </c>
      <c r="H67" s="82" t="e">
        <f>IF(#REF!=0,"",#REF!)</f>
        <v>#REF!</v>
      </c>
      <c r="I67" s="473" t="e">
        <f>IF(#REF!=0,"",#REF!)</f>
        <v>#REF!</v>
      </c>
      <c r="J67" s="481" t="e">
        <f>IF(#REF!=0,"",#REF!)</f>
        <v>#REF!</v>
      </c>
      <c r="K67" s="481" t="e">
        <f>IF(#REF!=0,"",#REF!)</f>
        <v>#REF!</v>
      </c>
      <c r="L67" s="488">
        <f>_xlfn.IFS(菜單總表!L67&lt;4.5,4.5,5.5&lt;菜單總表!L67,5.5,AND(4.5&lt;菜單總表!L67,菜單總表!L67&lt;5.7),菜單總表!L67)</f>
        <v>5.5</v>
      </c>
      <c r="M67" s="488">
        <f>_xlfn.IFS(菜單總表!M67&lt;2.1,2,3&lt;菜單總表!M67,3,AND(2.1&lt;菜單總表!M67,菜單總表!M67&lt;3),菜單總表!M67)</f>
        <v>3</v>
      </c>
      <c r="N67" s="488" t="str">
        <f>IF(菜單總表!N67&lt;1.5,1.5+菜單總表!N67/30,菜單總表!N67)</f>
        <v/>
      </c>
      <c r="O67" s="488" t="str">
        <f>菜單總表!O67</f>
        <v/>
      </c>
      <c r="P67" s="488" t="str">
        <f>IFERROR(SUMPRODUCT(#REF!,#REF!)/#REF!,"")</f>
        <v/>
      </c>
      <c r="Q67" s="488" t="str">
        <f>IFERROR(SUMPRODUCT(#REF!,#REF!)/#REF!,"")</f>
        <v/>
      </c>
      <c r="R67" s="490" t="str">
        <f>IFERROR(L67*70+M67*75+N67*25+O67*45+P67*60+Q67*150,"")</f>
        <v/>
      </c>
    </row>
    <row r="68" spans="1:18" s="22" customFormat="1" ht="25.15" customHeight="1">
      <c r="A68" s="476"/>
      <c r="B68" s="478"/>
      <c r="C68" s="480"/>
      <c r="D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68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68" s="474"/>
      <c r="J68" s="482"/>
      <c r="K68" s="482"/>
      <c r="L68" s="489"/>
      <c r="M68" s="489"/>
      <c r="N68" s="489"/>
      <c r="O68" s="489"/>
      <c r="P68" s="489"/>
      <c r="Q68" s="489"/>
      <c r="R68" s="491"/>
    </row>
    <row r="69" spans="1:18" ht="49.9" customHeight="1">
      <c r="A69" s="475" t="e">
        <f>IF(#REF!=0,"",#REF!)</f>
        <v>#REF!</v>
      </c>
      <c r="B69" s="477" t="s">
        <v>37</v>
      </c>
      <c r="C69" s="479" t="e">
        <f>IF(#REF!=0,"",#REF!)</f>
        <v>#REF!</v>
      </c>
      <c r="D69" s="81" t="e">
        <f>IF(#REF!=0,"",#REF!)</f>
        <v>#REF!</v>
      </c>
      <c r="E69" s="81" t="e">
        <f>IF(#REF!=0,"",#REF!)</f>
        <v>#REF!</v>
      </c>
      <c r="F69" s="82" t="e">
        <f>IF(#REF!=0,"",#REF!)</f>
        <v>#REF!</v>
      </c>
      <c r="G69" s="82" t="e">
        <f>IF(#REF!=0,"",#REF!)</f>
        <v>#REF!</v>
      </c>
      <c r="H69" s="82" t="e">
        <f>IF(#REF!=0,"",#REF!)</f>
        <v>#REF!</v>
      </c>
      <c r="I69" s="473" t="e">
        <f>IF(#REF!=0,"",#REF!)</f>
        <v>#REF!</v>
      </c>
      <c r="J69" s="481" t="e">
        <f>IF(#REF!=0,"",#REF!)</f>
        <v>#REF!</v>
      </c>
      <c r="K69" s="481" t="e">
        <f>IF(#REF!=0,"",#REF!)</f>
        <v>#REF!</v>
      </c>
      <c r="L69" s="488" t="str">
        <f>IF(菜單總表!L69&lt;4.4,4.4+菜單總表!L69/30,菜單總表!L69)</f>
        <v/>
      </c>
      <c r="M69" s="488" t="str">
        <f>IF(菜單總表!M69&lt;2.1,"2.0",菜單總表!M69)</f>
        <v/>
      </c>
      <c r="N69" s="488"/>
      <c r="O69" s="488" t="str">
        <f>IFERROR(SUMPRODUCT(#REF!,#REF!)/#REF!+2.3,"")</f>
        <v/>
      </c>
      <c r="P69" s="488" t="str">
        <f>IFERROR(SUMPRODUCT(#REF!,#REF!)/#REF!,"")</f>
        <v/>
      </c>
      <c r="Q69" s="488" t="str">
        <f>IFERROR(SUMPRODUCT(#REF!,#REF!)/#REF!,"")</f>
        <v/>
      </c>
      <c r="R69" s="490" t="str">
        <f>IFERROR(L69*70+M69*75+N69*25+O69*45+P69*60+Q69*150,"")</f>
        <v/>
      </c>
    </row>
    <row r="70" spans="1:18" s="22" customFormat="1" ht="25.15" customHeight="1">
      <c r="A70" s="476"/>
      <c r="B70" s="478"/>
      <c r="C70" s="480"/>
      <c r="D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70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70" s="474"/>
      <c r="J70" s="482"/>
      <c r="K70" s="482"/>
      <c r="L70" s="489"/>
      <c r="M70" s="489"/>
      <c r="N70" s="489"/>
      <c r="O70" s="489"/>
      <c r="P70" s="489"/>
      <c r="Q70" s="489"/>
      <c r="R70" s="491"/>
    </row>
    <row r="71" spans="1:18" ht="49.9" customHeight="1">
      <c r="A71" s="475" t="e">
        <f>IF(#REF!=0,"",#REF!)</f>
        <v>#REF!</v>
      </c>
      <c r="B71" s="477" t="s">
        <v>38</v>
      </c>
      <c r="C71" s="479" t="e">
        <f>IF(#REF!=0,"",#REF!)</f>
        <v>#REF!</v>
      </c>
      <c r="D71" s="81" t="e">
        <f>IF(#REF!=0,"",#REF!)</f>
        <v>#REF!</v>
      </c>
      <c r="E71" s="81" t="e">
        <f>IF(#REF!=0,"",#REF!)</f>
        <v>#REF!</v>
      </c>
      <c r="F71" s="82" t="e">
        <f>IF(#REF!=0,"",#REF!)</f>
        <v>#REF!</v>
      </c>
      <c r="G71" s="82" t="e">
        <f>IF(#REF!=0,"",#REF!)</f>
        <v>#REF!</v>
      </c>
      <c r="H71" s="82" t="e">
        <f>IF(#REF!=0,"",#REF!)</f>
        <v>#REF!</v>
      </c>
      <c r="I71" s="473" t="e">
        <f>IF(#REF!=0,"",#REF!)</f>
        <v>#REF!</v>
      </c>
      <c r="J71" s="481" t="e">
        <f>IF(#REF!=0,"",#REF!)</f>
        <v>#REF!</v>
      </c>
      <c r="K71" s="481" t="e">
        <f>IF(#REF!=0,"",#REF!)</f>
        <v>#REF!</v>
      </c>
      <c r="L71" s="488" t="str">
        <f>IF(菜單總表!L71&lt;4.4,4.4+菜單總表!L71/30,菜單總表!L71)</f>
        <v/>
      </c>
      <c r="M71" s="488" t="str">
        <f>IF(菜單總表!M71&lt;2.1,"2.0",菜單總表!M71)</f>
        <v/>
      </c>
      <c r="N71" s="488" t="str">
        <f>IFERROR(SUMPRODUCT(#REF!,#REF!)/#REF!,"")</f>
        <v/>
      </c>
      <c r="O71" s="488" t="str">
        <f>IFERROR(SUMPRODUCT(#REF!,#REF!)/#REF!+2.3,"")</f>
        <v/>
      </c>
      <c r="P71" s="488" t="str">
        <f>IFERROR(SUMPRODUCT(#REF!,#REF!)/#REF!,"")</f>
        <v/>
      </c>
      <c r="Q71" s="488" t="str">
        <f>IFERROR(SUMPRODUCT(#REF!,#REF!)/#REF!,"")</f>
        <v/>
      </c>
      <c r="R71" s="490" t="str">
        <f>IFERROR(L71*70+M71*75+N71*25+O71*45+P71*60+Q71*150,"")</f>
        <v/>
      </c>
    </row>
    <row r="72" spans="1:18" s="22" customFormat="1" ht="25.15" customHeight="1">
      <c r="A72" s="476"/>
      <c r="B72" s="478"/>
      <c r="C72" s="480"/>
      <c r="D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E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F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G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H72" s="21" t="e">
        <f>_xlfn.CONCAT(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,IF(OR(#REF!=0,IFERROR(FIND("素-",#REF!),0)=1),"",","),IF(IFERROR(FIND("素-",#REF!),0)=1,"",#REF!))</f>
        <v>#REF!</v>
      </c>
      <c r="I72" s="474"/>
      <c r="J72" s="482"/>
      <c r="K72" s="482"/>
      <c r="L72" s="489"/>
      <c r="M72" s="489"/>
      <c r="N72" s="489"/>
      <c r="O72" s="489"/>
      <c r="P72" s="489"/>
      <c r="Q72" s="489"/>
      <c r="R72" s="491"/>
    </row>
    <row r="73" spans="1:18" ht="49.9" customHeight="1">
      <c r="A73" s="475"/>
      <c r="B73" s="477" t="s">
        <v>39</v>
      </c>
      <c r="C73" s="479"/>
      <c r="D73" s="81"/>
      <c r="E73" s="81"/>
      <c r="F73" s="81"/>
      <c r="G73" s="81"/>
      <c r="H73" s="81"/>
      <c r="I73" s="473"/>
      <c r="J73" s="481"/>
      <c r="K73" s="481"/>
      <c r="L73" s="492"/>
      <c r="M73" s="492"/>
      <c r="N73" s="492"/>
      <c r="O73" s="492"/>
      <c r="P73" s="492"/>
      <c r="Q73" s="492"/>
      <c r="R73" s="490"/>
    </row>
    <row r="74" spans="1:18" s="22" customFormat="1" ht="25.15" customHeight="1">
      <c r="A74" s="476"/>
      <c r="B74" s="478"/>
      <c r="C74" s="480"/>
      <c r="D74" s="21"/>
      <c r="E74" s="21"/>
      <c r="F74" s="21"/>
      <c r="G74" s="21"/>
      <c r="H74" s="21"/>
      <c r="I74" s="474"/>
      <c r="J74" s="482"/>
      <c r="K74" s="482"/>
      <c r="L74" s="493"/>
      <c r="M74" s="493"/>
      <c r="N74" s="493"/>
      <c r="O74" s="493"/>
      <c r="P74" s="493"/>
      <c r="Q74" s="493"/>
      <c r="R74" s="491"/>
    </row>
    <row r="75" spans="1:18" s="90" customFormat="1" ht="28.9" customHeight="1">
      <c r="A75" s="24"/>
      <c r="B75" s="24"/>
      <c r="C75" s="88" t="s">
        <v>42</v>
      </c>
      <c r="D75" s="89"/>
      <c r="E75" s="89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s="90" customFormat="1" ht="28.9" customHeight="1">
      <c r="A76" s="24"/>
      <c r="B76" s="24"/>
      <c r="C76" s="88" t="s">
        <v>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s="90" customFormat="1" ht="28.9" customHeight="1">
      <c r="A77" s="24"/>
      <c r="B77" s="24"/>
      <c r="C77" s="88" t="s">
        <v>44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ht="24.4" customHeight="1"/>
    <row r="79" spans="1:18" ht="24.4" customHeight="1"/>
    <row r="80" spans="1:18" ht="16.5">
      <c r="A80" s="100">
        <v>155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2" ht="28.15" customHeight="1"/>
  </sheetData>
  <mergeCells count="457">
    <mergeCell ref="N73:N74"/>
    <mergeCell ref="O73:O74"/>
    <mergeCell ref="P73:P74"/>
    <mergeCell ref="Q73:Q74"/>
    <mergeCell ref="R73:R74"/>
    <mergeCell ref="Q71:Q72"/>
    <mergeCell ref="R71:R72"/>
    <mergeCell ref="A73:A74"/>
    <mergeCell ref="B73:B74"/>
    <mergeCell ref="C73:C74"/>
    <mergeCell ref="I73:I74"/>
    <mergeCell ref="J73:J74"/>
    <mergeCell ref="K73:K74"/>
    <mergeCell ref="L73:L74"/>
    <mergeCell ref="M73:M74"/>
    <mergeCell ref="K71:K72"/>
    <mergeCell ref="L71:L72"/>
    <mergeCell ref="M71:M72"/>
    <mergeCell ref="N71:N72"/>
    <mergeCell ref="O71:O72"/>
    <mergeCell ref="P71:P72"/>
    <mergeCell ref="N69:N70"/>
    <mergeCell ref="O69:O70"/>
    <mergeCell ref="P69:P70"/>
    <mergeCell ref="Q69:Q70"/>
    <mergeCell ref="R69:R70"/>
    <mergeCell ref="A71:A72"/>
    <mergeCell ref="B71:B72"/>
    <mergeCell ref="C71:C72"/>
    <mergeCell ref="I71:I72"/>
    <mergeCell ref="J71:J72"/>
    <mergeCell ref="A69:A70"/>
    <mergeCell ref="B69:B70"/>
    <mergeCell ref="C69:C70"/>
    <mergeCell ref="I69:I70"/>
    <mergeCell ref="J69:J70"/>
    <mergeCell ref="K69:K70"/>
    <mergeCell ref="L69:L70"/>
    <mergeCell ref="M69:M70"/>
    <mergeCell ref="K67:K68"/>
    <mergeCell ref="L67:L68"/>
    <mergeCell ref="M67:M68"/>
    <mergeCell ref="N65:N66"/>
    <mergeCell ref="O65:O66"/>
    <mergeCell ref="P65:P66"/>
    <mergeCell ref="Q65:Q66"/>
    <mergeCell ref="R65:R66"/>
    <mergeCell ref="A67:A68"/>
    <mergeCell ref="B67:B68"/>
    <mergeCell ref="C67:C68"/>
    <mergeCell ref="I67:I68"/>
    <mergeCell ref="J67:J68"/>
    <mergeCell ref="Q67:Q68"/>
    <mergeCell ref="R67:R68"/>
    <mergeCell ref="N67:N68"/>
    <mergeCell ref="O67:O68"/>
    <mergeCell ref="P67:P68"/>
    <mergeCell ref="A65:A66"/>
    <mergeCell ref="B65:B66"/>
    <mergeCell ref="C65:C66"/>
    <mergeCell ref="I65:I66"/>
    <mergeCell ref="J65:J66"/>
    <mergeCell ref="K65:K66"/>
    <mergeCell ref="L65:L66"/>
    <mergeCell ref="M65:M66"/>
    <mergeCell ref="K63:K64"/>
    <mergeCell ref="L63:L64"/>
    <mergeCell ref="M63:M64"/>
    <mergeCell ref="N61:N62"/>
    <mergeCell ref="O61:O62"/>
    <mergeCell ref="P61:P62"/>
    <mergeCell ref="Q61:Q62"/>
    <mergeCell ref="R61:R62"/>
    <mergeCell ref="A63:A64"/>
    <mergeCell ref="B63:B64"/>
    <mergeCell ref="C63:C64"/>
    <mergeCell ref="I63:I64"/>
    <mergeCell ref="J63:J64"/>
    <mergeCell ref="Q63:Q64"/>
    <mergeCell ref="R63:R64"/>
    <mergeCell ref="N63:N64"/>
    <mergeCell ref="O63:O64"/>
    <mergeCell ref="P63:P64"/>
    <mergeCell ref="A61:A62"/>
    <mergeCell ref="B61:B62"/>
    <mergeCell ref="C61:C62"/>
    <mergeCell ref="I61:I62"/>
    <mergeCell ref="J61:J62"/>
    <mergeCell ref="K61:K62"/>
    <mergeCell ref="L61:L62"/>
    <mergeCell ref="M61:M62"/>
    <mergeCell ref="K59:K60"/>
    <mergeCell ref="L59:L60"/>
    <mergeCell ref="M59:M60"/>
    <mergeCell ref="N57:N58"/>
    <mergeCell ref="O57:O58"/>
    <mergeCell ref="P57:P58"/>
    <mergeCell ref="Q57:Q58"/>
    <mergeCell ref="R57:R58"/>
    <mergeCell ref="A59:A60"/>
    <mergeCell ref="B59:B60"/>
    <mergeCell ref="C59:C60"/>
    <mergeCell ref="I59:I60"/>
    <mergeCell ref="J59:J60"/>
    <mergeCell ref="Q59:Q60"/>
    <mergeCell ref="R59:R60"/>
    <mergeCell ref="N59:N60"/>
    <mergeCell ref="O59:O60"/>
    <mergeCell ref="P59:P60"/>
    <mergeCell ref="A57:A58"/>
    <mergeCell ref="B57:B58"/>
    <mergeCell ref="C57:C58"/>
    <mergeCell ref="I57:I58"/>
    <mergeCell ref="J57:J58"/>
    <mergeCell ref="K57:K58"/>
    <mergeCell ref="L57:L58"/>
    <mergeCell ref="M57:M58"/>
    <mergeCell ref="K55:K56"/>
    <mergeCell ref="L55:L56"/>
    <mergeCell ref="M55:M56"/>
    <mergeCell ref="N53:N54"/>
    <mergeCell ref="O53:O54"/>
    <mergeCell ref="P53:P54"/>
    <mergeCell ref="Q53:Q54"/>
    <mergeCell ref="R53:R54"/>
    <mergeCell ref="A55:A56"/>
    <mergeCell ref="B55:B56"/>
    <mergeCell ref="C55:C56"/>
    <mergeCell ref="I55:I56"/>
    <mergeCell ref="J55:J56"/>
    <mergeCell ref="Q55:Q56"/>
    <mergeCell ref="R55:R56"/>
    <mergeCell ref="N55:N56"/>
    <mergeCell ref="O55:O56"/>
    <mergeCell ref="P55:P56"/>
    <mergeCell ref="A53:A54"/>
    <mergeCell ref="B53:B54"/>
    <mergeCell ref="C53:C54"/>
    <mergeCell ref="I53:I54"/>
    <mergeCell ref="J53:J54"/>
    <mergeCell ref="K53:K54"/>
    <mergeCell ref="L53:L54"/>
    <mergeCell ref="M53:M54"/>
    <mergeCell ref="K51:K52"/>
    <mergeCell ref="L51:L52"/>
    <mergeCell ref="M51:M52"/>
    <mergeCell ref="N49:N50"/>
    <mergeCell ref="O49:O50"/>
    <mergeCell ref="P49:P50"/>
    <mergeCell ref="Q49:Q50"/>
    <mergeCell ref="R49:R50"/>
    <mergeCell ref="A51:A52"/>
    <mergeCell ref="B51:B52"/>
    <mergeCell ref="C51:C52"/>
    <mergeCell ref="I51:I52"/>
    <mergeCell ref="J51:J52"/>
    <mergeCell ref="Q51:Q52"/>
    <mergeCell ref="R51:R52"/>
    <mergeCell ref="N51:N52"/>
    <mergeCell ref="O51:O52"/>
    <mergeCell ref="P51:P52"/>
    <mergeCell ref="A49:A50"/>
    <mergeCell ref="B49:B50"/>
    <mergeCell ref="C49:C50"/>
    <mergeCell ref="I49:I50"/>
    <mergeCell ref="J49:J50"/>
    <mergeCell ref="K49:K50"/>
    <mergeCell ref="L49:L50"/>
    <mergeCell ref="M49:M50"/>
    <mergeCell ref="K47:K48"/>
    <mergeCell ref="L47:L48"/>
    <mergeCell ref="M47:M48"/>
    <mergeCell ref="N45:N46"/>
    <mergeCell ref="O45:O46"/>
    <mergeCell ref="P45:P46"/>
    <mergeCell ref="Q45:Q46"/>
    <mergeCell ref="R45:R46"/>
    <mergeCell ref="A47:A48"/>
    <mergeCell ref="B47:B48"/>
    <mergeCell ref="C47:C48"/>
    <mergeCell ref="I47:I48"/>
    <mergeCell ref="J47:J48"/>
    <mergeCell ref="Q47:Q48"/>
    <mergeCell ref="R47:R48"/>
    <mergeCell ref="N47:N48"/>
    <mergeCell ref="O47:O48"/>
    <mergeCell ref="P47:P48"/>
    <mergeCell ref="A45:A46"/>
    <mergeCell ref="B45:B46"/>
    <mergeCell ref="C45:C46"/>
    <mergeCell ref="I45:I46"/>
    <mergeCell ref="J45:J46"/>
    <mergeCell ref="K45:K46"/>
    <mergeCell ref="L45:L46"/>
    <mergeCell ref="M45:M46"/>
    <mergeCell ref="K43:K44"/>
    <mergeCell ref="L43:L44"/>
    <mergeCell ref="M43:M44"/>
    <mergeCell ref="N41:N42"/>
    <mergeCell ref="O41:O42"/>
    <mergeCell ref="P41:P42"/>
    <mergeCell ref="Q41:Q42"/>
    <mergeCell ref="R41:R42"/>
    <mergeCell ref="A43:A44"/>
    <mergeCell ref="B43:B44"/>
    <mergeCell ref="C43:C44"/>
    <mergeCell ref="I43:I44"/>
    <mergeCell ref="J43:J44"/>
    <mergeCell ref="Q43:Q44"/>
    <mergeCell ref="R43:R44"/>
    <mergeCell ref="N43:N44"/>
    <mergeCell ref="O43:O44"/>
    <mergeCell ref="P43:P44"/>
    <mergeCell ref="A41:A42"/>
    <mergeCell ref="B41:B42"/>
    <mergeCell ref="C41:C42"/>
    <mergeCell ref="I41:I42"/>
    <mergeCell ref="J41:J42"/>
    <mergeCell ref="K41:K42"/>
    <mergeCell ref="L41:L42"/>
    <mergeCell ref="M41:M42"/>
    <mergeCell ref="K39:K40"/>
    <mergeCell ref="L39:L40"/>
    <mergeCell ref="M39:M40"/>
    <mergeCell ref="N37:N38"/>
    <mergeCell ref="O37:O38"/>
    <mergeCell ref="P37:P38"/>
    <mergeCell ref="Q37:Q38"/>
    <mergeCell ref="R37:R38"/>
    <mergeCell ref="A39:A40"/>
    <mergeCell ref="B39:B40"/>
    <mergeCell ref="C39:C40"/>
    <mergeCell ref="I39:I40"/>
    <mergeCell ref="J39:J40"/>
    <mergeCell ref="Q39:Q40"/>
    <mergeCell ref="R39:R40"/>
    <mergeCell ref="N39:N40"/>
    <mergeCell ref="O39:O40"/>
    <mergeCell ref="P39:P40"/>
    <mergeCell ref="A37:A38"/>
    <mergeCell ref="B37:B38"/>
    <mergeCell ref="C37:C38"/>
    <mergeCell ref="I37:I38"/>
    <mergeCell ref="J37:J38"/>
    <mergeCell ref="K37:K38"/>
    <mergeCell ref="L37:L38"/>
    <mergeCell ref="M37:M38"/>
    <mergeCell ref="K35:K36"/>
    <mergeCell ref="L35:L36"/>
    <mergeCell ref="M35:M36"/>
    <mergeCell ref="N33:N34"/>
    <mergeCell ref="O33:O34"/>
    <mergeCell ref="P33:P34"/>
    <mergeCell ref="Q33:Q34"/>
    <mergeCell ref="R33:R34"/>
    <mergeCell ref="A35:A36"/>
    <mergeCell ref="B35:B36"/>
    <mergeCell ref="C35:C36"/>
    <mergeCell ref="I35:I36"/>
    <mergeCell ref="J35:J36"/>
    <mergeCell ref="Q35:Q36"/>
    <mergeCell ref="R35:R36"/>
    <mergeCell ref="N35:N36"/>
    <mergeCell ref="O35:O36"/>
    <mergeCell ref="P35:P36"/>
    <mergeCell ref="A33:A34"/>
    <mergeCell ref="B33:B34"/>
    <mergeCell ref="C33:C34"/>
    <mergeCell ref="I33:I34"/>
    <mergeCell ref="J33:J34"/>
    <mergeCell ref="K33:K34"/>
    <mergeCell ref="L33:L34"/>
    <mergeCell ref="M33:M34"/>
    <mergeCell ref="K31:K32"/>
    <mergeCell ref="L31:L32"/>
    <mergeCell ref="M31:M32"/>
    <mergeCell ref="N29:N30"/>
    <mergeCell ref="O29:O30"/>
    <mergeCell ref="P29:P30"/>
    <mergeCell ref="Q29:Q30"/>
    <mergeCell ref="R29:R30"/>
    <mergeCell ref="A31:A32"/>
    <mergeCell ref="B31:B32"/>
    <mergeCell ref="C31:C32"/>
    <mergeCell ref="I31:I32"/>
    <mergeCell ref="J31:J32"/>
    <mergeCell ref="Q31:Q32"/>
    <mergeCell ref="R31:R32"/>
    <mergeCell ref="N31:N32"/>
    <mergeCell ref="O31:O32"/>
    <mergeCell ref="P31:P32"/>
    <mergeCell ref="A29:A30"/>
    <mergeCell ref="B29:B30"/>
    <mergeCell ref="C29:C30"/>
    <mergeCell ref="I29:I30"/>
    <mergeCell ref="J29:J30"/>
    <mergeCell ref="K29:K30"/>
    <mergeCell ref="L29:L30"/>
    <mergeCell ref="M29:M30"/>
    <mergeCell ref="K27:K28"/>
    <mergeCell ref="L27:L28"/>
    <mergeCell ref="M27:M28"/>
    <mergeCell ref="N25:N26"/>
    <mergeCell ref="O25:O26"/>
    <mergeCell ref="P25:P26"/>
    <mergeCell ref="Q25:Q26"/>
    <mergeCell ref="R25:R26"/>
    <mergeCell ref="A27:A28"/>
    <mergeCell ref="B27:B28"/>
    <mergeCell ref="C27:C28"/>
    <mergeCell ref="I27:I28"/>
    <mergeCell ref="J27:J28"/>
    <mergeCell ref="Q27:Q28"/>
    <mergeCell ref="R27:R28"/>
    <mergeCell ref="N27:N28"/>
    <mergeCell ref="O27:O28"/>
    <mergeCell ref="P27:P28"/>
    <mergeCell ref="A25:A26"/>
    <mergeCell ref="B25:B26"/>
    <mergeCell ref="C25:C26"/>
    <mergeCell ref="I25:I26"/>
    <mergeCell ref="J25:J26"/>
    <mergeCell ref="K25:K26"/>
    <mergeCell ref="L25:L26"/>
    <mergeCell ref="M25:M26"/>
    <mergeCell ref="K23:K24"/>
    <mergeCell ref="L23:L24"/>
    <mergeCell ref="M23:M24"/>
    <mergeCell ref="N21:N22"/>
    <mergeCell ref="O21:O22"/>
    <mergeCell ref="P21:P22"/>
    <mergeCell ref="Q21:Q22"/>
    <mergeCell ref="R21:R22"/>
    <mergeCell ref="A23:A24"/>
    <mergeCell ref="B23:B24"/>
    <mergeCell ref="C23:C24"/>
    <mergeCell ref="I23:I24"/>
    <mergeCell ref="J23:J24"/>
    <mergeCell ref="Q23:Q24"/>
    <mergeCell ref="R23:R24"/>
    <mergeCell ref="N23:N24"/>
    <mergeCell ref="O23:O24"/>
    <mergeCell ref="P23:P24"/>
    <mergeCell ref="A21:A22"/>
    <mergeCell ref="B21:B22"/>
    <mergeCell ref="C21:C22"/>
    <mergeCell ref="I21:I22"/>
    <mergeCell ref="J21:J22"/>
    <mergeCell ref="K21:K22"/>
    <mergeCell ref="L21:L22"/>
    <mergeCell ref="M21:M22"/>
    <mergeCell ref="K19:K20"/>
    <mergeCell ref="L19:L20"/>
    <mergeCell ref="M19:M20"/>
    <mergeCell ref="N17:N18"/>
    <mergeCell ref="O17:O18"/>
    <mergeCell ref="P17:P18"/>
    <mergeCell ref="Q17:Q18"/>
    <mergeCell ref="R17:R18"/>
    <mergeCell ref="A19:A20"/>
    <mergeCell ref="B19:B20"/>
    <mergeCell ref="C19:C20"/>
    <mergeCell ref="I19:I20"/>
    <mergeCell ref="J19:J20"/>
    <mergeCell ref="Q19:Q20"/>
    <mergeCell ref="R19:R20"/>
    <mergeCell ref="N19:N20"/>
    <mergeCell ref="O19:O20"/>
    <mergeCell ref="P19:P20"/>
    <mergeCell ref="A17:A18"/>
    <mergeCell ref="B17:B18"/>
    <mergeCell ref="C17:C18"/>
    <mergeCell ref="I17:I18"/>
    <mergeCell ref="J17:J18"/>
    <mergeCell ref="K17:K18"/>
    <mergeCell ref="L17:L18"/>
    <mergeCell ref="M17:M18"/>
    <mergeCell ref="K15:K16"/>
    <mergeCell ref="L15:L16"/>
    <mergeCell ref="M15:M16"/>
    <mergeCell ref="N13:N14"/>
    <mergeCell ref="O13:O14"/>
    <mergeCell ref="P13:P14"/>
    <mergeCell ref="Q13:Q14"/>
    <mergeCell ref="R13:R14"/>
    <mergeCell ref="A15:A16"/>
    <mergeCell ref="B15:B16"/>
    <mergeCell ref="C15:C16"/>
    <mergeCell ref="I15:I16"/>
    <mergeCell ref="J15:J16"/>
    <mergeCell ref="Q15:Q16"/>
    <mergeCell ref="R15:R16"/>
    <mergeCell ref="N15:N16"/>
    <mergeCell ref="O15:O16"/>
    <mergeCell ref="P15:P16"/>
    <mergeCell ref="A13:A14"/>
    <mergeCell ref="B13:B14"/>
    <mergeCell ref="C13:C14"/>
    <mergeCell ref="I13:I14"/>
    <mergeCell ref="J13:J14"/>
    <mergeCell ref="K13:K14"/>
    <mergeCell ref="L13:L14"/>
    <mergeCell ref="M13:M14"/>
    <mergeCell ref="K11:K12"/>
    <mergeCell ref="L11:L12"/>
    <mergeCell ref="M11:M12"/>
    <mergeCell ref="Q9:Q10"/>
    <mergeCell ref="R9:R10"/>
    <mergeCell ref="A11:A12"/>
    <mergeCell ref="B11:B12"/>
    <mergeCell ref="C11:C12"/>
    <mergeCell ref="I11:I12"/>
    <mergeCell ref="J11:J12"/>
    <mergeCell ref="Q11:Q12"/>
    <mergeCell ref="R11:R12"/>
    <mergeCell ref="N11:N12"/>
    <mergeCell ref="O11:O12"/>
    <mergeCell ref="P11:P12"/>
    <mergeCell ref="A7:A8"/>
    <mergeCell ref="B7:B8"/>
    <mergeCell ref="C7:C8"/>
    <mergeCell ref="I7:I8"/>
    <mergeCell ref="J7:J8"/>
    <mergeCell ref="Q7:Q8"/>
    <mergeCell ref="R7:R8"/>
    <mergeCell ref="A9:A10"/>
    <mergeCell ref="B9:B10"/>
    <mergeCell ref="C9:C10"/>
    <mergeCell ref="I9:I10"/>
    <mergeCell ref="J9:J10"/>
    <mergeCell ref="K9:K10"/>
    <mergeCell ref="L9:L10"/>
    <mergeCell ref="M9:M10"/>
    <mergeCell ref="K7:K8"/>
    <mergeCell ref="L7:L8"/>
    <mergeCell ref="M7:M8"/>
    <mergeCell ref="N7:N8"/>
    <mergeCell ref="O7:O8"/>
    <mergeCell ref="P7:P8"/>
    <mergeCell ref="N9:N10"/>
    <mergeCell ref="O9:O10"/>
    <mergeCell ref="P9:P10"/>
    <mergeCell ref="A2:R2"/>
    <mergeCell ref="A3:R3"/>
    <mergeCell ref="A5:A6"/>
    <mergeCell ref="B5:B6"/>
    <mergeCell ref="C5:C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honeticPr fontId="16" type="noConversion"/>
  <printOptions horizontalCentered="1"/>
  <pageMargins left="0.39370078740157483" right="0.39370078740157483" top="0.59055118110236227" bottom="0.23622047244094491" header="0.31496062992125984" footer="0.31496062992125984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R199"/>
  <sheetViews>
    <sheetView tabSelected="1" topLeftCell="A11" zoomScale="90" zoomScaleNormal="90" workbookViewId="0">
      <selection activeCell="J5" sqref="J5:J6"/>
    </sheetView>
  </sheetViews>
  <sheetFormatPr defaultColWidth="9.125" defaultRowHeight="27.75"/>
  <cols>
    <col min="1" max="1" width="7.5" style="16" customWidth="1"/>
    <col min="2" max="2" width="5.5" style="17" customWidth="1"/>
    <col min="3" max="3" width="11.375" style="17" customWidth="1"/>
    <col min="4" max="4" width="43.125" style="17" customWidth="1"/>
    <col min="5" max="5" width="32.5" style="17" customWidth="1"/>
    <col min="6" max="6" width="43.125" style="17" customWidth="1"/>
    <col min="7" max="7" width="35.75" style="17" customWidth="1"/>
    <col min="8" max="8" width="35.75" style="17" hidden="1" customWidth="1"/>
    <col min="9" max="9" width="10.625" style="17" customWidth="1"/>
    <col min="10" max="11" width="13.5" style="24" customWidth="1"/>
    <col min="12" max="12" width="9.125" style="19" customWidth="1"/>
    <col min="13" max="14" width="9.125" style="19"/>
    <col min="15" max="15" width="9.625" style="19" bestFit="1" customWidth="1"/>
    <col min="16" max="16" width="9.125" style="19"/>
    <col min="17" max="17" width="9.625" style="19" bestFit="1" customWidth="1"/>
    <col min="18" max="16384" width="9.125" style="19"/>
  </cols>
  <sheetData>
    <row r="1" spans="1:11" ht="55.5" customHeight="1"/>
    <row r="2" spans="1:11" s="20" customFormat="1" ht="53.65" customHeight="1">
      <c r="A2" s="484" t="str">
        <f>菜單總表!A2</f>
        <v>基隆市安樂高中、長樂安樂港西國小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</row>
    <row r="3" spans="1:11" s="20" customFormat="1" ht="49.15" customHeight="1" thickBot="1">
      <c r="A3" s="494" t="str">
        <f>菜單總表!A3</f>
        <v>113 年 6 月 份 午 餐 食 譜 （葷）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</row>
    <row r="4" spans="1:11" ht="192.4" customHeight="1">
      <c r="A4" s="75" t="s">
        <v>31</v>
      </c>
      <c r="B4" s="76" t="s">
        <v>32</v>
      </c>
      <c r="C4" s="77" t="s">
        <v>33</v>
      </c>
      <c r="D4" s="77" t="s">
        <v>40</v>
      </c>
      <c r="E4" s="77" t="s">
        <v>41</v>
      </c>
      <c r="F4" s="77" t="s">
        <v>67</v>
      </c>
      <c r="G4" s="77" t="s">
        <v>68</v>
      </c>
      <c r="H4" s="77" t="s">
        <v>80</v>
      </c>
      <c r="I4" s="77" t="s">
        <v>34</v>
      </c>
      <c r="J4" s="92" t="s">
        <v>81</v>
      </c>
      <c r="K4" s="92" t="s">
        <v>35</v>
      </c>
    </row>
    <row r="5" spans="1:11" ht="49.9" customHeight="1">
      <c r="A5" s="475">
        <f>IF(第一週!$G$2=0,"",第一週!$G$2)</f>
        <v>45446</v>
      </c>
      <c r="B5" s="477" t="s">
        <v>22</v>
      </c>
      <c r="C5" s="479" t="str">
        <f>IF(第一週!$G$4=0,"",第一週!$G$4)</f>
        <v>白飯</v>
      </c>
      <c r="D5" s="81" t="str">
        <f>IF(第一週!$G$34=0,"",第一週!$G$34)</f>
        <v>香菇肉燥</v>
      </c>
      <c r="E5" s="81" t="str">
        <f>IF(第一週!$G$49=0,"",第一週!$G$49)</f>
        <v/>
      </c>
      <c r="F5" s="82" t="str">
        <f>IF(第一週!$G$94=0,"",第一週!$G$94)</f>
        <v>關東煮</v>
      </c>
      <c r="G5" s="82" t="str">
        <f>IF(第一週!$G$109=0,"",第一週!$G$109)</f>
        <v>燴大瓜</v>
      </c>
      <c r="H5" s="82" t="str">
        <f>IF(第一週!$G$199=0,"",第一週!$G$199)</f>
        <v>肉骨茶湯</v>
      </c>
      <c r="I5" s="473" t="str">
        <f>IF(第一週!$G$184=0,"",第一週!$G$184)</f>
        <v>清炒時蔬</v>
      </c>
      <c r="J5" s="481" t="str">
        <f>IF(第一週!$G$214=0,"",第一週!$G$214)</f>
        <v>果汁</v>
      </c>
      <c r="K5" s="481" t="str">
        <f>IF(第一週!$G$234=0,"",第一週!$G$234)</f>
        <v/>
      </c>
    </row>
    <row r="6" spans="1:11" s="22" customFormat="1" ht="25.15" customHeight="1">
      <c r="A6" s="476"/>
      <c r="B6" s="478"/>
      <c r="C6" s="480"/>
      <c r="D6" s="21" t="str">
        <f>_xlfn.CONCAT(IF(IFERROR(FIND("素-",第一週!$H$34),0)=1,"",第一週!$H$34),IF(OR(第一週!$H$35=0,IFERROR(FIND("素-",第一週!$H$35),0)=1),"",","),IF(IFERROR(FIND("素-",第一週!$H$35),0)=1,"",第一週!$H$35),IF(OR(第一週!$H$36=0,IFERROR(FIND("素-",第一週!$H$36),0)=1),"",","),IF(IFERROR(FIND("素-",第一週!$H$36),0)=1,"",第一週!$H$36),IF(OR(第一週!$H$37=0,IFERROR(FIND("素-",第一週!$H$37),0)=1),"",","),IF(IFERROR(FIND("素-",第一週!$H$37),0)=1,"",第一週!$H$37),IF(OR(第一週!$H$38=0,IFERROR(FIND("素-",第一週!$H$38),0)=1),"",","),IF(IFERROR(FIND("素-",第一週!$H$38),0)=1,"",第一週!$H$38),IF(OR(第一週!$H$39=0,IFERROR(FIND("素-",第一週!$H$39),0)=1),"",","),IF(IFERROR(FIND("素-",第一週!$H$39),0)=1,"",第一週!$H$39),IF(OR(第一週!$H$40=0,IFERROR(FIND("素-",第一週!$H$40),0)=1),"",","),IF(IFERROR(FIND("素-",第一週!$H$40),0)=1,"",第一週!$H$40),IF(OR(第一週!$H$41=0,IFERROR(FIND("素-",第一週!$H$41),0)=1),"",","),IF(IFERROR(FIND("素-",第一週!$H$41),0)=1,"",第一週!$H$41),IF(OR(第一週!$H$42=0,IFERROR(FIND("素-",第一週!$H$42),0)=1),"",","),IF(IFERROR(FIND("素-",第一週!$H$42),0)=1,"",第一週!$H$42))</f>
        <v>豬絞肉,乾香菇,碎花瓜,大蒜</v>
      </c>
      <c r="E6" s="21"/>
      <c r="F6" s="21" t="str">
        <f>_xlfn.CONCAT(IF(IFERROR(FIND("素-",第一週!$H$94),0)=1,"",第一週!$H$94),IF(OR(第一週!$H$95=0,IFERROR(FIND("素-",第一週!$H$95),0)=1),"",","),IF(IFERROR(FIND("素-",第一週!$H$95),0)=1,"",第一週!$H$95),IF(OR(第一週!$H$96=0,IFERROR(FIND("素-",第一週!$H$96),0)=1),"",","),IF(IFERROR(FIND("素-",第一週!$H$96),0)=1,"",第一週!$H$96),IF(OR(第一週!$H$97=0,IFERROR(FIND("素-",第一週!$H$97),0)=1),"",","),IF(IFERROR(FIND("素-",第一週!$H$97),0)=1,"",第一週!$H$97),IF(OR(第一週!$H$98=0,IFERROR(FIND("素-",第一週!$H$98),0)=1),"",","),IF(IFERROR(FIND("素-",第一週!$H$98),0)=1,"",第一週!$H$98),IF(OR(第一週!$H$99=0,IFERROR(FIND("素-",第一週!$H$99),0)=1),"",","),IF(IFERROR(FIND("素-",第一週!$H$99),0)=1,"",第一週!$H$99),IF(OR(第一週!$H$100=0,IFERROR(FIND("素-",第一週!$H$100),0)=1),"",","),IF(IFERROR(FIND("素-",第一週!$H$100),0)=1,"",第一週!$H$100))</f>
        <v>冷凍玉米塊,白蘿蔔,油豆腐,蒟蒻捲,海山醬</v>
      </c>
      <c r="G6" s="21" t="str">
        <f>_xlfn.CONCAT(IF(IFERROR(FIND("素-",第一週!$H$109),0)=1,"",第一週!$H$109),IF(OR(第一週!$H$110=0,IFERROR(FIND("素-",第一週!$H$110),0)=1),"",","),IF(IFERROR(FIND("素-",第一週!$H$110),0)=1,"",第一週!$H$110),IF(OR(第一週!$H$111=0,IFERROR(FIND("素-",第一週!$H$111),0)=1),"",","),IF(IFERROR(FIND("素-",第一週!$H$111),0)=1,"",第一週!$H$111),IF(OR(第一週!$H$112=0,IFERROR(FIND("素-",第一週!$H$112),0)=1),"",","),IF(IFERROR(FIND("素-",第一週!$H$112),0)=1,"",第一週!$H$112),IF(OR(第一週!$H$113=0,IFERROR(FIND("素-",第一週!$H$113),0)=1),"",","),IF(IFERROR(FIND("素-",第一週!$H$113),0)=1,"",第一週!$H$113),IF(OR(第一週!$H$114=0,IFERROR(FIND("素-",第一週!$H$114),0)=1),"",","),IF(IFERROR(FIND("素-",第一週!$H$114),0)=1,"",第一週!$H$114),IF(OR(第一週!$H$115=0,IFERROR(FIND("素-",第一週!$H$115),0)=1),"",","),IF(IFERROR(FIND("素-",第一週!$H$115),0)=1,"",第一週!$H$115))</f>
        <v>大黃瓜,冷凍玉米粒,木耳</v>
      </c>
      <c r="H6" s="21" t="str">
        <f>_xlfn.CONCAT(IF(IFERROR(FIND("素-",第一週!$H$199),0)=1,"",第一週!$H$199),IF(OR(第一週!$H$200=0,IFERROR(FIND("素-",第一週!$H$200),0)=1),"",","),IF(IFERROR(FIND("素-",第一週!$H$200),0)=1,"",第一週!$H$200),IF(OR(第一週!$H$201=0,IFERROR(FIND("素-",第一週!$H$201),0)=1),"",","),IF(IFERROR(FIND("素-",第一週!$H$201),0)=1,"",第一週!$H$201),IF(OR(第一週!$H$202=0,IFERROR(FIND("素-",第一週!$H$202),0)=1),"",","),IF(IFERROR(FIND("素-",第一週!$H$202),0)=1,"",第一週!$H$202),IF(OR(第一週!$H$203=0,IFERROR(FIND("素-",第一週!$H$203),0)=1),"",","),IF(IFERROR(FIND("素-",第一週!$H$203),0)=1,"",第一週!$H$203),IF(OR(第一週!$H$204=0,IFERROR(FIND("素-",第一週!$H$204),0)=1),"",","),IF(IFERROR(FIND("素-",第一週!$H$204),0)=1,"",第一週!$H$204),IF(OR(第一週!$H$205=0,IFERROR(FIND("素-",第一週!$H$205),0)=1),"",","),IF(IFERROR(FIND("素-",第一週!$H$205),0)=1,"",第一週!$H$205),IF(OR(第一週!$H$206=0,IFERROR(FIND("素-",第一週!$H$206),0)=1),"",","),IF(IFERROR(FIND("素-",第一週!$H$206),0)=1,"",第一週!$H$206))</f>
        <v>高麗菜,肉骨茶包,枸杞,豬前腿肉</v>
      </c>
      <c r="I6" s="474"/>
      <c r="J6" s="482"/>
      <c r="K6" s="482"/>
    </row>
    <row r="7" spans="1:11" ht="49.9" customHeight="1">
      <c r="A7" s="475">
        <f>IF(第一週!$L$2=0,"",第一週!$L$2)</f>
        <v>45447</v>
      </c>
      <c r="B7" s="477" t="s">
        <v>23</v>
      </c>
      <c r="C7" s="479" t="str">
        <f>IF(第一週!$L$4=0,"",第一週!$L$4)</f>
        <v>白飯</v>
      </c>
      <c r="D7" s="81" t="str">
        <f>IF(第一週!$L$34=0,"",第一週!$L$34)</f>
        <v>筍香悶肉</v>
      </c>
      <c r="E7" s="81" t="str">
        <f>IF(第一週!$L$49=0,"",第一週!$L$49)</f>
        <v/>
      </c>
      <c r="F7" s="82" t="str">
        <f>IF(第一週!$L$94=0,"",第一週!$L$94)</f>
        <v>培根高麗菜</v>
      </c>
      <c r="G7" s="82" t="str">
        <f>IF(第一週!$L$109=0,"",第一週!$L$109)</f>
        <v>海結麵輪</v>
      </c>
      <c r="H7" s="82" t="str">
        <f>IF(第一週!$L$199=0,"",第一週!$L$199)</f>
        <v>味噌湯</v>
      </c>
      <c r="I7" s="473" t="str">
        <f>IF(第一週!$L$184=0,"",第一週!$L$184)</f>
        <v>清炒時蔬</v>
      </c>
      <c r="J7" s="481" t="str">
        <f>IF(第一週!$L$214=0,"",第一週!$L$214)</f>
        <v>牛奶</v>
      </c>
      <c r="K7" s="481" t="str">
        <f>IF(第一週!$L$234=0,"",第一週!$L$234)</f>
        <v/>
      </c>
    </row>
    <row r="8" spans="1:11" s="22" customFormat="1" ht="25.15" customHeight="1">
      <c r="A8" s="476"/>
      <c r="B8" s="478"/>
      <c r="C8" s="480"/>
      <c r="D8" s="21" t="str">
        <f>_xlfn.CONCAT(IF(IFERROR(FIND("素-",第一週!$M$34),0)=1,"",第一週!$M$34),IF(OR(第一週!$M$35=0,IFERROR(FIND("素-",第一週!$M$35),0)=1),"",","),IF(IFERROR(FIND("素-",第一週!$M$35),0)=1,"",第一週!$M$35),IF(OR(第一週!$M$36=0,IFERROR(FIND("素-",第一週!$M$36),0)=1),"",","),IF(IFERROR(FIND("素-",第一週!$M$36),0)=1,"",第一週!$M$36),IF(OR(第一週!$M$37=0,IFERROR(FIND("素-",第一週!$M$37),0)=1),"",","),IF(IFERROR(FIND("素-",第一週!$M$37),0)=1,"",第一週!$M$37),IF(OR(第一週!$M$38=0,IFERROR(FIND("素-",第一週!$M$38),0)=1),"",","),IF(IFERROR(FIND("素-",第一週!$M$38),0)=1,"",第一週!$M$38),IF(OR(第一週!$M$39=0,IFERROR(FIND("素-",第一週!$M$39),0)=1),"",","),IF(IFERROR(FIND("素-",第一週!$M$39),0)=1,"",第一週!$M$39),IF(OR(第一週!$M$40=0,IFERROR(FIND("素-",第一週!$M$40),0)=1),"",","),IF(IFERROR(FIND("素-",第一週!$M$40),0)=1,"",第一週!$M$40),IF(OR(第一週!$M$41=0,IFERROR(FIND("素-",第一週!$M$41),0)=1),"",","),IF(IFERROR(FIND("素-",第一週!$M$41),0)=1,"",第一週!$M$41),IF(OR(第一週!$M$42=0,IFERROR(FIND("素-",第一週!$M$42),0)=1),"",","),IF(IFERROR(FIND("素-",第一週!$M$42),0)=1,"",第一週!$M$42))</f>
        <v>豬前腿肉,筍干,胡蘿蔔,蒜仁,蔥</v>
      </c>
      <c r="E8" s="21"/>
      <c r="F8" s="21" t="e">
        <f>_xlfn.CONCAT(IF(IFERROR(FIND("素-",第一週!$M$94),0)=1,"",第一週!$M$94),IF(OR(第一週!#REF!=0,IFERROR(FIND("素-",第一週!#REF!),0)=1),"",","),IF(IFERROR(FIND("素-",第一週!#REF!),0)=1,"",第一週!#REF!),IF(OR(第一週!$M$96=0,IFERROR(FIND("素-",第一週!$M$96),0)=1),"",","),IF(IFERROR(FIND("素-",第一週!$M$96),0)=1,"",第一週!$M$96),IF(OR(第一週!$M$95=0,IFERROR(FIND("素-",第一週!$M$95),0)=1),"",","),IF(IFERROR(FIND("素-",第一週!$M$95),0)=1,"",第一週!$M$95),IF(OR(第一週!$M$98=0,IFERROR(FIND("素-",第一週!$M$98),0)=1),"",","),IF(IFERROR(FIND("素-",第一週!$M$98),0)=1,"",第一週!$M$98),IF(OR(第一週!$M$99=0,IFERROR(FIND("素-",第一週!$M$99),0)=1),"",","),IF(IFERROR(FIND("素-",第一週!$M$99),0)=1,"",第一週!$M$99),IF(OR(第一週!$M$100=0,IFERROR(FIND("素-",第一週!$M$100),0)=1),"",","),IF(IFERROR(FIND("素-",第一週!$M$100),0)=1,"",第一週!$M$100))</f>
        <v>#REF!</v>
      </c>
      <c r="G8" s="21" t="str">
        <f>_xlfn.CONCAT(IF(IFERROR(FIND("素-",第一週!$M$109),0)=1,"",第一週!$M$109),IF(OR(第一週!$M$110=0,IFERROR(FIND("素-",第一週!$M$110),0)=1),"",","),IF(IFERROR(FIND("素-",第一週!$M$110),0)=1,"",第一週!$M$110),IF(OR(第一週!$M$111=0,IFERROR(FIND("素-",第一週!$M$111),0)=1),"",","),IF(IFERROR(FIND("素-",第一週!$M$111),0)=1,"",第一週!$M$111),IF(OR(第一週!$M$112=0,IFERROR(FIND("素-",第一週!$M$112),0)=1),"",","),IF(IFERROR(FIND("素-",第一週!$M$112),0)=1,"",第一週!$M$112),IF(OR(第一週!$M$113=0,IFERROR(FIND("素-",第一週!$M$113),0)=1),"",","),IF(IFERROR(FIND("素-",第一週!$M$113),0)=1,"",第一週!$M$113),IF(OR(第一週!$M$114=0,IFERROR(FIND("素-",第一週!$M$114),0)=1),"",","),IF(IFERROR(FIND("素-",第一週!$M$114),0)=1,"",第一週!$M$114),IF(OR(第一週!$M$115=0,IFERROR(FIND("素-",第一週!$M$115),0)=1),"",","),IF(IFERROR(FIND("素-",第一週!$M$115),0)=1,"",第一週!$M$115))</f>
        <v>海帶結,乾麵輪,白蘿蔔</v>
      </c>
      <c r="H8" s="21" t="e">
        <f>_xlfn.CONCAT(IF(IFERROR(FIND("素-",第一週!$M$199),0)=1,"",第一週!$M$199),IF(OR(第一週!$M$200=0,IFERROR(FIND("素-",第一週!$M$200),0)=1),"",","),IF(IFERROR(FIND("素-",第一週!$M$200),0)=1,"",第一週!$M$200),IF(OR(第一週!#REF!=0,IFERROR(FIND("素-",第一週!#REF!),0)=1),"",","),IF(IFERROR(FIND("素-",第一週!#REF!),0)=1,"",第一週!#REF!),IF(OR(第一週!$M$201=0,IFERROR(FIND("素-",第一週!$M$201),0)=1),"",","),IF(IFERROR(FIND("素-",第一週!$M$201),0)=1,"",第一週!$M$201),IF(OR(第一週!$M$203=0,IFERROR(FIND("素-",第一週!$M$203),0)=1),"",","),IF(IFERROR(FIND("素-",第一週!$M$203),0)=1,"",第一週!$M$203),IF(OR(第一週!$M$204=0,IFERROR(FIND("素-",第一週!$M$204),0)=1),"",","),IF(IFERROR(FIND("素-",第一週!$M$204),0)=1,"",第一週!$M$204),IF(OR(第一週!$M$205=0,IFERROR(FIND("素-",第一週!$M$205),0)=1),"",","),IF(IFERROR(FIND("素-",第一週!$M$205),0)=1,"",第一週!$M$205),IF(OR(第一週!$M$206=0,IFERROR(FIND("素-",第一週!$M$206),0)=1),"",","),IF(IFERROR(FIND("素-",第一週!$M$206),0)=1,"",第一週!$M$206))</f>
        <v>#REF!</v>
      </c>
      <c r="I8" s="474"/>
      <c r="J8" s="482"/>
      <c r="K8" s="482"/>
    </row>
    <row r="9" spans="1:11" ht="49.9" customHeight="1">
      <c r="A9" s="475">
        <f>IF(第一週!$Q$2=0,"",第一週!$Q$2)</f>
        <v>45448</v>
      </c>
      <c r="B9" s="477" t="s">
        <v>24</v>
      </c>
      <c r="C9" s="479" t="str">
        <f>IF(第一週!$Q$4=0,"",第一週!$Q$4)</f>
        <v>黃油麵</v>
      </c>
      <c r="D9" s="81" t="str">
        <f>IF(第一週!$Q$34=0,"",第一週!$Q$34)</f>
        <v>玉米肉絲炒麵</v>
      </c>
      <c r="E9" s="81" t="str">
        <f>IF(第一週!$Q$49=0,"",第一週!$Q$49)</f>
        <v>鮮肉包</v>
      </c>
      <c r="F9" s="82" t="str">
        <f>IF(第一週!$Q$94=0,"",第一週!$Q$94)</f>
        <v/>
      </c>
      <c r="G9" s="82" t="str">
        <f>IF(第一週!$Q$109=0,"",第一週!$Q$109)</f>
        <v>開陽冬瓜</v>
      </c>
      <c r="H9" s="82" t="str">
        <f>IF(第一週!$Q$199=0,"",第一週!$Q$199)</f>
        <v>金菇蛋花湯</v>
      </c>
      <c r="I9" s="473" t="str">
        <f>IF(第一週!$Q$184=0,"",第一週!$Q$184)</f>
        <v>清炒時蔬</v>
      </c>
      <c r="J9" s="481" t="str">
        <f>IF(第一週!$Q$214=0,"",第一週!$Q$214)</f>
        <v>水果</v>
      </c>
      <c r="K9" s="481" t="str">
        <f>IF(第一週!$Q$234=0,"",第一週!$Q$234)</f>
        <v/>
      </c>
    </row>
    <row r="10" spans="1:11" s="22" customFormat="1" ht="25.15" customHeight="1">
      <c r="A10" s="476"/>
      <c r="B10" s="478"/>
      <c r="C10" s="480"/>
      <c r="D10" s="21" t="str">
        <f>_xlfn.CONCAT(IF(IFERROR(FIND("素-",第一週!$R$34),0)=1,"",第一週!$R$34),IF(OR(第一週!$R$35=0,IFERROR(FIND("素-",第一週!$R$35),0)=1),"",","),IF(IFERROR(FIND("素-",第一週!$R$35),0)=1,"",第一週!$R$35),IF(OR(第一週!$R$36=0,IFERROR(FIND("素-",第一週!$R$36),0)=1),"",","),IF(IFERROR(FIND("素-",第一週!$R$36),0)=1,"",第一週!$R$36),IF(OR(第一週!$R$37=0,IFERROR(FIND("素-",第一週!$R$37),0)=1),"",","),IF(IFERROR(FIND("素-",第一週!$R$37),0)=1,"",第一週!$R$37),IF(OR(第一週!$R$38=0,IFERROR(FIND("素-",第一週!$R$38),0)=1),"",","),IF(IFERROR(FIND("素-",第一週!$R$38),0)=1,"",第一週!$R$38),IF(OR(第一週!$R$39=0,IFERROR(FIND("素-",第一週!$R$39),0)=1),"",","),IF(IFERROR(FIND("素-",第一週!$R$39),0)=1,"",第一週!$R$39),IF(OR(第一週!$R$40=0,IFERROR(FIND("素-",第一週!$R$40),0)=1),"",","),IF(IFERROR(FIND("素-",第一週!$R$40),0)=1,"",第一週!$R$40),IF(OR(第一週!$R$41=0,IFERROR(FIND("素-",第一週!$R$41),0)=1),"",","),IF(IFERROR(FIND("素-",第一週!$R$41),0)=1,"",第一週!$R$41),IF(OR(第一週!$R$42=0,IFERROR(FIND("素-",第一週!$R$42),0)=1),"",","),IF(IFERROR(FIND("素-",第一週!$R$42),0)=1,"",第一週!$R$42))</f>
        <v>冷凍玉米粒,豬前腿肉,雞蛋,洋蔥,高麗菜,青蔥</v>
      </c>
      <c r="E10" s="21" t="str">
        <f>_xlfn.CONCAT(IF(IFERROR(FIND("素-",第一週!$R$49),0)=1,"",第一週!$R$49),IF(OR(第一週!$R$50=0,IFERROR(FIND("素-",第一週!$R$50),0)=1),"",","),IF(IFERROR(FIND("素-",第一週!$R$50),0)=1,"",第一週!$R$50),IF(OR(第一週!$R$51=0,IFERROR(FIND("素-",第一週!$R$51),0)=1),"",","),IF(IFERROR(FIND("素-",第一週!$R$51),0)=1,"",第一週!$R$51),IF(OR(第一週!$R$52=0,IFERROR(FIND("素-",第一週!$R$52),0)=1),"",","),IF(IFERROR(FIND("素-",第一週!$R$52),0)=1,"",第一週!$R$52),IF(OR(第一週!$R$53=0,IFERROR(FIND("素-",第一週!$R$53),0)=1),"",","),IF(IFERROR(FIND("素-",第一週!$R$53),0)=1,"",第一週!$R$53),IF(OR(第一週!$R$54=0,IFERROR(FIND("素-",第一週!$R$54),0)=1),"",","),IF(IFERROR(FIND("素-",第一週!$R$54),0)=1,"",第一週!$R$54),IF(OR(第一週!$R$55=0,IFERROR(FIND("素-",第一週!$R$55),0)=1),"",","),IF(IFERROR(FIND("素-",第一週!$R$55),0)=1,"",第一週!$R$55))</f>
        <v>鮮肉包</v>
      </c>
      <c r="F10" s="21" t="str">
        <f>_xlfn.CONCAT(IF(IFERROR(FIND("素-",第一週!$R$94),0)=1,"",第一週!$R$94),IF(OR(第一週!$R$95=0,IFERROR(FIND("素-",第一週!$R$95),0)=1),"",","),IF(IFERROR(FIND("素-",第一週!$R$95),0)=1,"",第一週!$R$95),IF(OR(第一週!$R$96=0,IFERROR(FIND("素-",第一週!$R$96),0)=1),"",","),IF(IFERROR(FIND("素-",第一週!$R$96),0)=1,"",第一週!$R$96),IF(OR(第一週!$R$97=0,IFERROR(FIND("素-",第一週!$R$97),0)=1),"",","),IF(IFERROR(FIND("素-",第一週!$R$97),0)=1,"",第一週!$R$97),IF(OR(第一週!$R$98=0,IFERROR(FIND("素-",第一週!$R$98),0)=1),"",","),IF(IFERROR(FIND("素-",第一週!$R$98),0)=1,"",第一週!$R$98),IF(OR(第一週!$R$99=0,IFERROR(FIND("素-",第一週!$R$99),0)=1),"",","),IF(IFERROR(FIND("素-",第一週!$R$99),0)=1,"",第一週!$R$99),IF(OR(第一週!$R$100=0,IFERROR(FIND("素-",第一週!$R$100),0)=1),"",","),IF(IFERROR(FIND("素-",第一週!$R$100),0)=1,"",第一週!$R$100))</f>
        <v/>
      </c>
      <c r="G10" s="21" t="str">
        <f>_xlfn.CONCAT(IF(IFERROR(FIND("素-",第一週!$R$109),0)=1,"",第一週!$R$109),IF(OR(第一週!$R$110=0,IFERROR(FIND("素-",第一週!$R$110),0)=1),"",","),IF(IFERROR(FIND("素-",第一週!$R$110),0)=1,"",第一週!$R$110),IF(OR(第一週!$R$111=0,IFERROR(FIND("素-",第一週!$R$111),0)=1),"",","),IF(IFERROR(FIND("素-",第一週!$R$111),0)=1,"",第一週!$R$111),IF(OR(第一週!$R$112=0,IFERROR(FIND("素-",第一週!$R$112),0)=1),"",","),IF(IFERROR(FIND("素-",第一週!$R$112),0)=1,"",第一週!$R$112),IF(OR(第一週!$R$113=0,IFERROR(FIND("素-",第一週!$R$113),0)=1),"",","),IF(IFERROR(FIND("素-",第一週!$R$113),0)=1,"",第一週!$R$113),IF(OR(第一週!$R$114=0,IFERROR(FIND("素-",第一週!$R$114),0)=1),"",","),IF(IFERROR(FIND("素-",第一週!$R$114),0)=1,"",第一週!$R$114),IF(OR(第一週!$R$115=0,IFERROR(FIND("素-",第一週!$R$115),0)=1),"",","),IF(IFERROR(FIND("素-",第一週!$R$115),0)=1,"",第一週!$R$115))</f>
        <v>冬瓜,蝦米,薑絲,貢丸</v>
      </c>
      <c r="H10" s="21" t="str">
        <f>_xlfn.CONCAT(IF(IFERROR(FIND("素-",第一週!$R$199),0)=1,"",第一週!$R$199),IF(OR(第一週!$R$200=0,IFERROR(FIND("素-",第一週!$R$200),0)=1),"",","),IF(IFERROR(FIND("素-",第一週!$R$200),0)=1,"",第一週!$R$200),IF(OR(第一週!$R$201=0,IFERROR(FIND("素-",第一週!$R$201),0)=1),"",","),IF(IFERROR(FIND("素-",第一週!$R$201),0)=1,"",第一週!$R$201),IF(OR(第一週!$R$202=0,IFERROR(FIND("素-",第一週!$R$202),0)=1),"",","),IF(IFERROR(FIND("素-",第一週!$R$202),0)=1,"",第一週!$R$202),IF(OR(第一週!$R$203=0,IFERROR(FIND("素-",第一週!$R$203),0)=1),"",","),IF(IFERROR(FIND("素-",第一週!$R$203),0)=1,"",第一週!$R$203),IF(OR(第一週!$R$204=0,IFERROR(FIND("素-",第一週!$R$204),0)=1),"",","),IF(IFERROR(FIND("素-",第一週!$R$204),0)=1,"",第一週!$R$204),IF(OR(第一週!$R$205=0,IFERROR(FIND("素-",第一週!$R$205),0)=1),"",","),IF(IFERROR(FIND("素-",第一週!$R$205),0)=1,"",第一週!$R$205),IF(OR(第一週!$R$206=0,IFERROR(FIND("素-",第一週!$R$206),0)=1),"",","),IF(IFERROR(FIND("素-",第一週!$R$206),0)=1,"",第一週!$R$206))</f>
        <v>金針菇,雞蛋,大骨</v>
      </c>
      <c r="I10" s="474"/>
      <c r="J10" s="482"/>
      <c r="K10" s="482"/>
    </row>
    <row r="11" spans="1:11" ht="49.9" customHeight="1">
      <c r="A11" s="475">
        <f>IF(第一週!$V$2=0,"",第一週!$V$2)</f>
        <v>45449</v>
      </c>
      <c r="B11" s="477" t="s">
        <v>25</v>
      </c>
      <c r="C11" s="479" t="str">
        <f>IF(第一週!$V$4=0,"",第一週!$V$4)</f>
        <v>紅藜飯</v>
      </c>
      <c r="D11" s="81" t="str">
        <f>IF(第一週!$V$34=0,"",第一週!$V$34)</f>
        <v>塔香番茄魚丁</v>
      </c>
      <c r="E11" s="81" t="str">
        <f>IF(第一週!$V$49=0,"",第一週!$V$49)</f>
        <v/>
      </c>
      <c r="F11" s="82" t="str">
        <f>IF(第一週!$V$94=0,"",第一週!$V$94)</f>
        <v>雜菜粉絲</v>
      </c>
      <c r="G11" s="82" t="str">
        <f>IF(第一週!$V$109=0,"",第一週!$V$109)</f>
        <v>滷白菜</v>
      </c>
      <c r="H11" s="82" t="str">
        <f>IF(第一週!$V$199=0,"",第一週!$V$199)</f>
        <v>蘿蔔玉米湯</v>
      </c>
      <c r="I11" s="473" t="str">
        <f>IF(第一週!$V$184=0,"",第一週!$V$184)</f>
        <v>清炒時蔬</v>
      </c>
      <c r="J11" s="481" t="str">
        <f>IF(第一週!$V$214=0,"",第一週!$V$214)</f>
        <v>牛奶</v>
      </c>
      <c r="K11" s="481" t="str">
        <f>IF(第一週!$V$234=0,"",第一週!$V$234)</f>
        <v/>
      </c>
    </row>
    <row r="12" spans="1:11" s="22" customFormat="1" ht="25.15" customHeight="1">
      <c r="A12" s="476"/>
      <c r="B12" s="478"/>
      <c r="C12" s="480"/>
      <c r="D12" s="21" t="str">
        <f>_xlfn.CONCAT(IF(IFERROR(FIND("素-",第一週!$W$34),0)=1,"",第一週!$W$34),IF(OR(第一週!$W$35=0,IFERROR(FIND("素-",第一週!$W$35),0)=1),"",","),IF(IFERROR(FIND("素-",第一週!$W$35),0)=1,"",第一週!$W$35),IF(OR(第一週!$W$36=0,IFERROR(FIND("素-",第一週!$W$36),0)=1),"",","),IF(IFERROR(FIND("素-",第一週!$W$36),0)=1,"",第一週!$W$36),IF(OR(第一週!$W$37=0,IFERROR(FIND("素-",第一週!$W$37),0)=1),"",","),IF(IFERROR(FIND("素-",第一週!$W$37),0)=1,"",第一週!$W$37),IF(OR(第一週!$W$38=0,IFERROR(FIND("素-",第一週!$W$38),0)=1),"",","),IF(IFERROR(FIND("素-",第一週!$W$38),0)=1,"",第一週!$W$38),IF(OR(第一週!$W$39=0,IFERROR(FIND("素-",第一週!$W$39),0)=1),"",","),IF(IFERROR(FIND("素-",第一週!$W$39),0)=1,"",第一週!$W$39),IF(OR(第一週!$W$40=0,IFERROR(FIND("素-",第一週!$W$40),0)=1),"",","),IF(IFERROR(FIND("素-",第一週!$W$40),0)=1,"",第一週!$W$40),IF(OR(第一週!$W$41=0,IFERROR(FIND("素-",第一週!$W$41),0)=1),"",","),IF(IFERROR(FIND("素-",第一週!$W$41),0)=1,"",第一週!$W$41),IF(OR(第一週!$W$42=0,IFERROR(FIND("素-",第一週!$W$42),0)=1),"",","),IF(IFERROR(FIND("素-",第一週!$W$42),0)=1,"",第一週!$W$42))</f>
        <v>水鯊魚,凍豆腐,洋蔥,九層塔,番茄</v>
      </c>
      <c r="E12" s="21"/>
      <c r="F12" s="21" t="str">
        <f>_xlfn.CONCAT(IF(IFERROR(FIND("素-",第一週!$W$94),0)=1,"",第一週!$W$94),IF(OR(第一週!$W$95=0,IFERROR(FIND("素-",第一週!$W$95),0)=1),"",","),IF(IFERROR(FIND("素-",第一週!$W$95),0)=1,"",第一週!$W$95),IF(OR(第一週!$W$96=0,IFERROR(FIND("素-",第一週!$W$96),0)=1),"",","),IF(IFERROR(FIND("素-",第一週!$W$96),0)=1,"",第一週!$W$96),IF(OR(第一週!$W$97=0,IFERROR(FIND("素-",第一週!$W$97),0)=1),"",","),IF(IFERROR(FIND("素-",第一週!$W$97),0)=1,"",第一週!$W$97),IF(OR(第一週!$W$98=0,IFERROR(FIND("素-",第一週!$W$98),0)=1),"",","),IF(IFERROR(FIND("素-",第一週!$W$98),0)=1,"",第一週!$W$98),IF(OR(第一週!$W$99=0,IFERROR(FIND("素-",第一週!$W$99),0)=1),"",","),IF(IFERROR(FIND("素-",第一週!$W$99),0)=1,"",第一週!$W$99),IF(OR(第一週!$W$100=0,IFERROR(FIND("素-",第一週!$W$100),0)=1),"",","),IF(IFERROR(FIND("素-",第一週!$W$100),0)=1,"",第一週!$W$100))</f>
        <v>冬粉,胡蘿蔔,青江菜,乾香菇,豬絞肉</v>
      </c>
      <c r="G12" s="21" t="str">
        <f>_xlfn.CONCAT(IF(IFERROR(FIND("素-",第一週!$W$109),0)=1,"",第一週!$W$109),IF(OR(第一週!$W$110=0,IFERROR(FIND("素-",第一週!$W$110),0)=1),"",","),IF(IFERROR(FIND("素-",第一週!$W$110),0)=1,"",第一週!$W$110),IF(OR(第一週!$W$111=0,IFERROR(FIND("素-",第一週!$W$111),0)=1),"",","),IF(IFERROR(FIND("素-",第一週!$W$111),0)=1,"",第一週!$W$111),IF(OR(第一週!$W$112=0,IFERROR(FIND("素-",第一週!$W$112),0)=1),"",","),IF(IFERROR(FIND("素-",第一週!$W$112),0)=1,"",第一週!$W$112),IF(OR(第一週!$W$113=0,IFERROR(FIND("素-",第一週!$W$113),0)=1),"",","),IF(IFERROR(FIND("素-",第一週!$W$113),0)=1,"",第一週!$W$113),IF(OR(第一週!$W$114=0,IFERROR(FIND("素-",第一週!$W$114),0)=1),"",","),IF(IFERROR(FIND("素-",第一週!$W$114),0)=1,"",第一週!$W$114),IF(OR(第一週!$W$115=0,IFERROR(FIND("素-",第一週!$W$115),0)=1),"",","),IF(IFERROR(FIND("素-",第一週!$W$115),0)=1,"",第一週!$W$115))</f>
        <v>大白菜,雞蛋,柴魚片,乾香菇絲</v>
      </c>
      <c r="H12" s="21" t="str">
        <f>_xlfn.CONCAT(IF(IFERROR(FIND("素-",第一週!$W$199),0)=1,"",第一週!$W$199),IF(OR(第一週!$W$200=0,IFERROR(FIND("素-",第一週!$W$200),0)=1),"",","),IF(IFERROR(FIND("素-",第一週!$W$200),0)=1,"",第一週!$W$200),IF(OR(第一週!$W$201=0,IFERROR(FIND("素-",第一週!$W$201),0)=1),"",","),IF(IFERROR(FIND("素-",第一週!$W$201),0)=1,"",第一週!$W$201),IF(OR(第一週!$W$202=0,IFERROR(FIND("素-",第一週!$W$202),0)=1),"",","),IF(IFERROR(FIND("素-",第一週!$W$202),0)=1,"",第一週!$W$202),IF(OR(第一週!$W$203=0,IFERROR(FIND("素-",第一週!$W$203),0)=1),"",","),IF(IFERROR(FIND("素-",第一週!$W$203),0)=1,"",第一週!$W$203),IF(OR(第一週!$W$204=0,IFERROR(FIND("素-",第一週!$W$204),0)=1),"",","),IF(IFERROR(FIND("素-",第一週!$W$204),0)=1,"",第一週!$W$204),IF(OR(第一週!$W$205=0,IFERROR(FIND("素-",第一週!$W$205),0)=1),"",","),IF(IFERROR(FIND("素-",第一週!$W$205),0)=1,"",第一週!$W$205),IF(OR(第一週!$W$206=0,IFERROR(FIND("素-",第一週!$W$206),0)=1),"",","),IF(IFERROR(FIND("素-",第一週!$W$206),0)=1,"",第一週!$W$206))</f>
        <v>冷凍玉米,芹菜,白蘿蔔,大骨</v>
      </c>
      <c r="I12" s="474"/>
      <c r="J12" s="482"/>
      <c r="K12" s="482"/>
    </row>
    <row r="13" spans="1:11" ht="49.9" customHeight="1">
      <c r="A13" s="475">
        <f>IF(第一週!$AA$2=0,"",第一週!$AA$2)</f>
        <v>45450</v>
      </c>
      <c r="B13" s="477" t="s">
        <v>37</v>
      </c>
      <c r="C13" s="479" t="str">
        <f>IF(第一週!$AA$4=0,"",第一週!$AA$4)</f>
        <v>白飯</v>
      </c>
      <c r="D13" s="81" t="str">
        <f>IF(第一週!$AA$34=0,"",第一週!$AA$34)</f>
        <v>滷雞翅</v>
      </c>
      <c r="E13" s="81" t="str">
        <f>IF(第一週!$AA$49=0,"",第一週!$AA$49)</f>
        <v/>
      </c>
      <c r="F13" s="82" t="str">
        <f>IF(第一週!$AA$94=0,"",第一週!$AA$94)</f>
        <v>番茄炒蛋</v>
      </c>
      <c r="G13" s="82" t="str">
        <f>IF(第一週!$AA$109=0,"",第一週!$AA$109)</f>
        <v>鐵板銀芽</v>
      </c>
      <c r="H13" s="82" t="str">
        <f>IF(第一週!$AA$199=0,"",第一週!$AA$199)</f>
        <v>綠豆薏仁湯</v>
      </c>
      <c r="I13" s="473" t="str">
        <f>IF(第一週!$AA$184=0,"",第一週!$AA$184)</f>
        <v>清炒時蔬</v>
      </c>
      <c r="J13" s="481" t="str">
        <f>IF(第一週!$AA$214=0,"",第一週!$AA$214)</f>
        <v>水果</v>
      </c>
      <c r="K13" s="481" t="str">
        <f>IF(第一週!$AA$234=0,"",第一週!$AA$234)</f>
        <v/>
      </c>
    </row>
    <row r="14" spans="1:11" s="22" customFormat="1" ht="25.15" customHeight="1">
      <c r="A14" s="476"/>
      <c r="B14" s="478"/>
      <c r="C14" s="480"/>
      <c r="D14" s="21" t="str">
        <f>_xlfn.CONCAT(IF(IFERROR(FIND("素-",第一週!$AB$34),0)=1,"",第一週!$AB$34),IF(OR(第一週!$AB$35=0,IFERROR(FIND("素-",第一週!$AB$35),0)=1),"",","),IF(IFERROR(FIND("素-",第一週!$AB$35),0)=1,"",第一週!$AB$35),IF(OR(第一週!$AB$36=0,IFERROR(FIND("素-",第一週!$AB$36),0)=1),"",","),IF(IFERROR(FIND("素-",第一週!$AB$36),0)=1,"",第一週!$AB$36),IF(OR(第一週!$AB$37=0,IFERROR(FIND("素-",第一週!$AB$37),0)=1),"",","),IF(IFERROR(FIND("素-",第一週!$AB$37),0)=1,"",第一週!$AB$37),IF(OR(第一週!$AB$38=0,IFERROR(FIND("素-",第一週!$AB$38),0)=1),"",","),IF(IFERROR(FIND("素-",第一週!$AB$38),0)=1,"",第一週!$AB$38),IF(OR(第一週!$AB$39=0,IFERROR(FIND("素-",第一週!$AB$39),0)=1),"",","),IF(IFERROR(FIND("素-",第一週!$AB$39),0)=1,"",第一週!$AB$39),IF(OR(第一週!$AB$40=0,IFERROR(FIND("素-",第一週!$AB$40),0)=1),"",","),IF(IFERROR(FIND("素-",第一週!$AB$40),0)=1,"",第一週!$AB$40),IF(OR(第一週!$AB$41=0,IFERROR(FIND("素-",第一週!$AB$41),0)=1),"",","),IF(IFERROR(FIND("素-",第一週!$AB$41),0)=1,"",第一週!$AB$41),IF(OR(第一週!$AB$42=0,IFERROR(FIND("素-",第一週!$AB$42),0)=1),"",","),IF(IFERROR(FIND("素-",第一週!$AB$42),0)=1,"",第一週!$AB$42))</f>
        <v>雞翅,滷包,青蔥,蒜仁,八角</v>
      </c>
      <c r="E14" s="21"/>
      <c r="F14" s="21" t="str">
        <f>_xlfn.CONCAT(IF(IFERROR(FIND("素-",第一週!$AB$94),0)=1,"",第一週!$AB$94),IF(OR(第一週!$AB$95=0,IFERROR(FIND("素-",第一週!$AB$95),0)=1),"",","),IF(IFERROR(FIND("素-",第一週!$AB$95),0)=1,"",第一週!$AB$95),IF(OR(第一週!$AB$96=0,IFERROR(FIND("素-",第一週!$AB$96),0)=1),"",","),IF(IFERROR(FIND("素-",第一週!$AB$96),0)=1,"",第一週!$AB$96),IF(OR(第一週!$AB$97=0,IFERROR(FIND("素-",第一週!$AB$97),0)=1),"",","),IF(IFERROR(FIND("素-",第一週!$AB$97),0)=1,"",第一週!$AB$97),IF(OR(第一週!$AB$98=0,IFERROR(FIND("素-",第一週!$AB$98),0)=1),"",","),IF(IFERROR(FIND("素-",第一週!$AB$98),0)=1,"",第一週!$AB$98),IF(OR(第一週!$AB$99=0,IFERROR(FIND("素-",第一週!$AB$99),0)=1),"",","),IF(IFERROR(FIND("素-",第一週!$AB$99),0)=1,"",第一週!$AB$99),IF(OR(第一週!$AB$100=0,IFERROR(FIND("素-",第一週!$AB$100),0)=1),"",","),IF(IFERROR(FIND("素-",第一週!$AB$100),0)=1,"",第一週!$AB$100))</f>
        <v>番茄,雞蛋,番茄糊</v>
      </c>
      <c r="G14" s="21" t="str">
        <f>_xlfn.CONCAT(IF(IFERROR(FIND("素-",第一週!$AB$109),0)=1,"",第一週!$AB$109),IF(OR(第一週!$AB$110=0,IFERROR(FIND("素-",第一週!$AB$110),0)=1),"",","),IF(IFERROR(FIND("素-",第一週!$AB$110),0)=1,"",第一週!$AB$110),IF(OR(第一週!$AB$111=0,IFERROR(FIND("素-",第一週!$AB$111),0)=1),"",","),IF(IFERROR(FIND("素-",第一週!$AB$111),0)=1,"",第一週!$AB$111),IF(OR(第一週!$AB$112=0,IFERROR(FIND("素-",第一週!$AB$112),0)=1),"",","),IF(IFERROR(FIND("素-",第一週!$AB$112),0)=1,"",第一週!$AB$112),IF(OR(第一週!$AB$113=0,IFERROR(FIND("素-",第一週!$AB$113),0)=1),"",","),IF(IFERROR(FIND("素-",第一週!$AB$113),0)=1,"",第一週!$AB$113),IF(OR(第一週!$AB$114=0,IFERROR(FIND("素-",第一週!$AB$114),0)=1),"",","),IF(IFERROR(FIND("素-",第一週!$AB$114),0)=1,"",第一週!$AB$114),IF(OR(第一週!$AB$115=0,IFERROR(FIND("素-",第一週!$AB$115),0)=1),"",","),IF(IFERROR(FIND("素-",第一週!$AB$115),0)=1,"",第一週!$AB$115))</f>
        <v>綠豆芽,胡蘿蔔,大蒜,木耳</v>
      </c>
      <c r="H14" s="21" t="str">
        <f>_xlfn.CONCAT(IF(IFERROR(FIND("素-",第一週!$AB$199),0)=1,"",第一週!$AB$199),IF(OR(第一週!$AB$200=0,IFERROR(FIND("素-",第一週!$AB$200),0)=1),"",","),IF(IFERROR(FIND("素-",第一週!$AB$200),0)=1,"",第一週!$AB$200),IF(OR(第一週!$AB$201=0,IFERROR(FIND("素-",第一週!$AB$201),0)=1),"",","),IF(IFERROR(FIND("素-",第一週!$AB$201),0)=1,"",第一週!$AB$201),IF(OR(第一週!$AB$202=0,IFERROR(FIND("素-",第一週!$AB$202),0)=1),"",","),IF(IFERROR(FIND("素-",第一週!$AB$202),0)=1,"",第一週!$AB$202),IF(OR(第一週!$AB$203=0,IFERROR(FIND("素-",第一週!$AB$203),0)=1),"",","),IF(IFERROR(FIND("素-",第一週!$AB$203),0)=1,"",第一週!$AB$203),IF(OR(第一週!$AB$204=0,IFERROR(FIND("素-",第一週!$AB$204),0)=1),"",","),IF(IFERROR(FIND("素-",第一週!$AB$204),0)=1,"",第一週!$AB$204),IF(OR(第一週!$AB$205=0,IFERROR(FIND("素-",第一週!$AB$205),0)=1),"",","),IF(IFERROR(FIND("素-",第一週!$AB$205),0)=1,"",第一週!$AB$205),IF(OR(第一週!$AB$206=0,IFERROR(FIND("素-",第一週!$AB$206),0)=1),"",","),IF(IFERROR(FIND("素-",第一週!$AB$206),0)=1,"",第一週!$AB$206))</f>
        <v>小薏仁,綠豆,二砂糖</v>
      </c>
      <c r="I14" s="474"/>
      <c r="J14" s="482"/>
      <c r="K14" s="482"/>
    </row>
    <row r="15" spans="1:11" ht="49.9" hidden="1" customHeight="1">
      <c r="A15" s="475">
        <f>IF(第一週!$AF$2=0,"",第一週!$AF$2)</f>
        <v>45451</v>
      </c>
      <c r="B15" s="477" t="s">
        <v>38</v>
      </c>
      <c r="C15" s="479" t="str">
        <f>IF(第一週!$AF$4=0,"",第一週!$AF$4)</f>
        <v>五穀飯</v>
      </c>
      <c r="D15" s="81" t="str">
        <f>IF(第一週!$AF$34=0,"",第一週!$AF$34)</f>
        <v/>
      </c>
      <c r="E15" s="81" t="str">
        <f>IF(第一週!$AF$49=0,"",第一週!$AF$49)</f>
        <v/>
      </c>
      <c r="F15" s="82" t="str">
        <f>IF(第一週!$AF$94=0,"",第一週!$AF$94)</f>
        <v/>
      </c>
      <c r="G15" s="82" t="str">
        <f>IF(第一週!$AF$109=0,"",第一週!$AF$109)</f>
        <v/>
      </c>
      <c r="H15" s="82" t="str">
        <f>IF(第一週!$AF$199=0,"",第一週!$AF$199)</f>
        <v/>
      </c>
      <c r="I15" s="473" t="str">
        <f>IF(第一週!$AF$184=0,"",第一週!$AF$184)</f>
        <v>清炒時蔬</v>
      </c>
      <c r="J15" s="481" t="str">
        <f>IF(第一週!$AF$214=0,"",第一週!$AF$214)</f>
        <v/>
      </c>
      <c r="K15" s="481" t="str">
        <f>IF(第一週!$AF$234=0,"",第一週!$AF$234)</f>
        <v/>
      </c>
    </row>
    <row r="16" spans="1:11" s="22" customFormat="1" ht="25.15" hidden="1" customHeight="1">
      <c r="A16" s="476"/>
      <c r="B16" s="478"/>
      <c r="C16" s="480"/>
      <c r="D16" s="21" t="str">
        <f>_xlfn.CONCAT(IF(IFERROR(FIND("素-",第一週!$AG$34),0)=1,"",第一週!$AG$34),IF(OR(第一週!$AG$35=0,IFERROR(FIND("素-",第一週!$AG$35),0)=1),"",","),IF(IFERROR(FIND("素-",第一週!$AG$35),0)=1,"",第一週!$AG$35),IF(OR(第一週!$AG$36=0,IFERROR(FIND("素-",第一週!$AG$36),0)=1),"",","),IF(IFERROR(FIND("素-",第一週!$AG$36),0)=1,"",第一週!$AG$36),IF(OR(第一週!$AG$37=0,IFERROR(FIND("素-",第一週!$AG$37),0)=1),"",","),IF(IFERROR(FIND("素-",第一週!$AG$37),0)=1,"",第一週!$AG$37),IF(OR(第一週!$AG$38=0,IFERROR(FIND("素-",第一週!$AG$38),0)=1),"",","),IF(IFERROR(FIND("素-",第一週!$AG$38),0)=1,"",第一週!$AG$38),IF(OR(第一週!$AG$39=0,IFERROR(FIND("素-",第一週!$AG$39),0)=1),"",","),IF(IFERROR(FIND("素-",第一週!$AG$39),0)=1,"",第一週!$AG$39),IF(OR(第一週!$AG$40=0,IFERROR(FIND("素-",第一週!$AG$40),0)=1),"",","),IF(IFERROR(FIND("素-",第一週!$AG$40),0)=1,"",第一週!$AG$40),IF(OR(第一週!$AG$41=0,IFERROR(FIND("素-",第一週!$AG$41),0)=1),"",","),IF(IFERROR(FIND("素-",第一週!$AG$41),0)=1,"",第一週!$AG$41),IF(OR(第一週!$AG$42=0,IFERROR(FIND("素-",第一週!$AG$42),0)=1),"",","),IF(IFERROR(FIND("素-",第一週!$AG$42),0)=1,"",第一週!$AG$42))</f>
        <v/>
      </c>
      <c r="E16" s="21" t="str">
        <f>_xlfn.CONCAT(IF(IFERROR(FIND("素-",第一週!$AG$49),0)=1,"",第一週!$AG$49),IF(OR(第一週!$AG$50=0,IFERROR(FIND("素-",第一週!$AG$50),0)=1),"",","),IF(IFERROR(FIND("素-",第一週!$AG$50),0)=1,"",第一週!$AG$50),IF(OR(第一週!$AG$51=0,IFERROR(FIND("素-",第一週!$AG$51),0)=1),"",","),IF(IFERROR(FIND("素-",第一週!$AG$51),0)=1,"",第一週!$AG$51),IF(OR(第一週!$AG$52=0,IFERROR(FIND("素-",第一週!$AG$52),0)=1),"",","),IF(IFERROR(FIND("素-",第一週!$AG$52),0)=1,"",第一週!$AG$52),IF(OR(第一週!$AG$53=0,IFERROR(FIND("素-",第一週!$AG$53),0)=1),"",","),IF(IFERROR(FIND("素-",第一週!$AG$53),0)=1,"",第一週!$AG$53),IF(OR(第一週!$AG$54=0,IFERROR(FIND("素-",第一週!$AG$54),0)=1),"",","),IF(IFERROR(FIND("素-",第一週!$AG$54),0)=1,"",第一週!$AG$54),IF(OR(第一週!$AG$55=0,IFERROR(FIND("素-",第一週!$AG$55),0)=1),"",","),IF(IFERROR(FIND("素-",第一週!$AG$55),0)=1,"",第一週!$AG$55))</f>
        <v/>
      </c>
      <c r="F16" s="21" t="str">
        <f>_xlfn.CONCAT(IF(IFERROR(FIND("素-",第一週!$AG$94),0)=1,"",第一週!$AG$94),IF(OR(第一週!$AG$95=0,IFERROR(FIND("素-",第一週!$AG$95),0)=1),"",","),IF(IFERROR(FIND("素-",第一週!$AG$95),0)=1,"",第一週!$AG$95),IF(OR(第一週!$AG$96=0,IFERROR(FIND("素-",第一週!$AG$96),0)=1),"",","),IF(IFERROR(FIND("素-",第一週!$AG$96),0)=1,"",第一週!$AG$96),IF(OR(第一週!$AG$97=0,IFERROR(FIND("素-",第一週!$AG$97),0)=1),"",","),IF(IFERROR(FIND("素-",第一週!$AG$97),0)=1,"",第一週!$AG$97),IF(OR(第一週!$AG$98=0,IFERROR(FIND("素-",第一週!$AG$98),0)=1),"",","),IF(IFERROR(FIND("素-",第一週!$AG$98),0)=1,"",第一週!$AG$98),IF(OR(第一週!$AG$99=0,IFERROR(FIND("素-",第一週!$AG$99),0)=1),"",","),IF(IFERROR(FIND("素-",第一週!$AG$99),0)=1,"",第一週!$AG$99),IF(OR(第一週!$AG$100=0,IFERROR(FIND("素-",第一週!$AG$100),0)=1),"",","),IF(IFERROR(FIND("素-",第一週!$AG$100),0)=1,"",第一週!$AG$100))</f>
        <v/>
      </c>
      <c r="G16" s="21" t="str">
        <f>_xlfn.CONCAT(IF(IFERROR(FIND("素-",第一週!$AG$109),0)=1,"",第一週!$AG$109),IF(OR(第一週!$AG$110=0,IFERROR(FIND("素-",第一週!$AG$110),0)=1),"",","),IF(IFERROR(FIND("素-",第一週!$AG$110),0)=1,"",第一週!$AG$110),IF(OR(第一週!$AG$111=0,IFERROR(FIND("素-",第一週!$AG$111),0)=1),"",","),IF(IFERROR(FIND("素-",第一週!$AG$111),0)=1,"",第一週!$AG$111),IF(OR(第一週!$AG$112=0,IFERROR(FIND("素-",第一週!$AG$112),0)=1),"",","),IF(IFERROR(FIND("素-",第一週!$AG$112),0)=1,"",第一週!$AG$112),IF(OR(第一週!$AG$113=0,IFERROR(FIND("素-",第一週!$AG$113),0)=1),"",","),IF(IFERROR(FIND("素-",第一週!$AG$113),0)=1,"",第一週!$AG$113),IF(OR(第一週!$AG$114=0,IFERROR(FIND("素-",第一週!$AG$114),0)=1),"",","),IF(IFERROR(FIND("素-",第一週!$AG$114),0)=1,"",第一週!$AG$114),IF(OR(第一週!$AG$115=0,IFERROR(FIND("素-",第一週!$AG$115),0)=1),"",","),IF(IFERROR(FIND("素-",第一週!$AG$115),0)=1,"",第一週!$AG$115))</f>
        <v/>
      </c>
      <c r="H16" s="21" t="str">
        <f>_xlfn.CONCAT(IF(IFERROR(FIND("素-",第一週!$AG$199),0)=1,"",第一週!$AG$199),IF(OR(第一週!$AG$200=0,IFERROR(FIND("素-",第一週!$AG$200),0)=1),"",","),IF(IFERROR(FIND("素-",第一週!$AG$200),0)=1,"",第一週!$AG$200),IF(OR(第一週!$AG$201=0,IFERROR(FIND("素-",第一週!$AG$201),0)=1),"",","),IF(IFERROR(FIND("素-",第一週!$AG$201),0)=1,"",第一週!$AG$201),IF(OR(第一週!$AG$202=0,IFERROR(FIND("素-",第一週!$AG$202),0)=1),"",","),IF(IFERROR(FIND("素-",第一週!$AG$202),0)=1,"",第一週!$AG$202),IF(OR(第一週!$AG$203=0,IFERROR(FIND("素-",第一週!$AG$203),0)=1),"",","),IF(IFERROR(FIND("素-",第一週!$AG$203),0)=1,"",第一週!$AG$203),IF(OR(第一週!$AG$204=0,IFERROR(FIND("素-",第一週!$AG$204),0)=1),"",","),IF(IFERROR(FIND("素-",第一週!$AG$204),0)=1,"",第一週!$AG$204),IF(OR(第一週!$AG$205=0,IFERROR(FIND("素-",第一週!$AG$205),0)=1),"",","),IF(IFERROR(FIND("素-",第一週!$AG$205),0)=1,"",第一週!$AG$205),IF(OR(第一週!$AG$206=0,IFERROR(FIND("素-",第一週!$AG$206),0)=1),"",","),IF(IFERROR(FIND("素-",第一週!$AG$206),0)=1,"",第一週!$AG$206))</f>
        <v/>
      </c>
      <c r="I16" s="474"/>
      <c r="J16" s="482"/>
      <c r="K16" s="482"/>
    </row>
    <row r="17" spans="1:11" ht="49.9" hidden="1" customHeight="1">
      <c r="A17" s="475"/>
      <c r="B17" s="477" t="s">
        <v>39</v>
      </c>
      <c r="C17" s="479"/>
      <c r="D17" s="81"/>
      <c r="E17" s="83"/>
      <c r="F17" s="84"/>
      <c r="G17" s="81"/>
      <c r="H17" s="81"/>
      <c r="I17" s="473"/>
      <c r="J17" s="481"/>
      <c r="K17" s="481"/>
    </row>
    <row r="18" spans="1:11" s="22" customFormat="1" ht="25.15" hidden="1" customHeight="1">
      <c r="A18" s="476"/>
      <c r="B18" s="478"/>
      <c r="C18" s="480"/>
      <c r="D18" s="21"/>
      <c r="E18" s="21"/>
      <c r="F18" s="21"/>
      <c r="G18" s="21"/>
      <c r="H18" s="21"/>
      <c r="I18" s="474"/>
      <c r="J18" s="482"/>
      <c r="K18" s="482"/>
    </row>
    <row r="19" spans="1:11" ht="49.9" customHeight="1">
      <c r="A19" s="475">
        <f>IF(第二週!$G$2=0,"",第二週!$G$2)</f>
        <v>45453</v>
      </c>
      <c r="B19" s="477" t="s">
        <v>22</v>
      </c>
      <c r="C19" s="479" t="str">
        <f>IF(第二週!$G$4=0,"",第二週!$G$4)</f>
        <v/>
      </c>
      <c r="D19" s="81" t="str">
        <f>IF(第二週!$G$34=0,"",第二週!$G$34)</f>
        <v>端午節</v>
      </c>
      <c r="E19" s="81" t="str">
        <f>IF(第二週!$G$49=0,"",第二週!$G$49)</f>
        <v/>
      </c>
      <c r="F19" s="82" t="str">
        <f>IF(第二週!$G$94=0,"",第二週!$G$94)</f>
        <v/>
      </c>
      <c r="G19" s="82" t="str">
        <f>IF(第二週!$G$109=0,"",第二週!$G$109)</f>
        <v/>
      </c>
      <c r="H19" s="82" t="str">
        <f>IF(第二週!$G$199=0,"",第二週!$G$199)</f>
        <v/>
      </c>
      <c r="I19" s="473" t="str">
        <f>IF(第二週!$G$184=0,"",第二週!$G$184)</f>
        <v/>
      </c>
      <c r="J19" s="481" t="str">
        <f>IF(第二週!$G$214=0,"",第二週!$G$214)</f>
        <v/>
      </c>
      <c r="K19" s="481" t="str">
        <f>IF(第二週!$G$234=0,"",第二週!$G$234)</f>
        <v/>
      </c>
    </row>
    <row r="20" spans="1:11" s="22" customFormat="1" ht="25.15" customHeight="1">
      <c r="A20" s="476"/>
      <c r="B20" s="478"/>
      <c r="C20" s="480"/>
      <c r="D20" s="21" t="str">
        <f>_xlfn.CONCAT(IF(IFERROR(FIND("素-",第二週!$H$34),0)=1,"",第二週!$H$34),IF(OR(第二週!$H$35=0,IFERROR(FIND("素-",第二週!$H$35),0)=1),"",","),IF(IFERROR(FIND("素-",第二週!$H$35),0)=1,"",第二週!$H$35),IF(OR(第二週!$H$36=0,IFERROR(FIND("素-",第二週!$H$36),0)=1),"",","),IF(IFERROR(FIND("素-",第二週!$H$36),0)=1,"",第二週!$H$36),IF(OR(第二週!$H$37=0,IFERROR(FIND("素-",第二週!$H$37),0)=1),"",","),IF(IFERROR(FIND("素-",第二週!$H$37),0)=1,"",第二週!$H$37),IF(OR(第二週!$H$38=0,IFERROR(FIND("素-",第二週!$H$38),0)=1),"",","),IF(IFERROR(FIND("素-",第二週!$H$38),0)=1,"",第二週!$H$38),IF(OR(第二週!$H$39=0,IFERROR(FIND("素-",第二週!$H$39),0)=1),"",","),IF(IFERROR(FIND("素-",第二週!$H$39),0)=1,"",第二週!$H$39),IF(OR(第二週!$H$40=0,IFERROR(FIND("素-",第二週!$H$40),0)=1),"",","),IF(IFERROR(FIND("素-",第二週!$H$40),0)=1,"",第二週!$H$40),IF(OR(第二週!$H$41=0,IFERROR(FIND("素-",第二週!$H$41),0)=1),"",","),IF(IFERROR(FIND("素-",第二週!$H$41),0)=1,"",第二週!$H$41),IF(OR(第二週!$H$42=0,IFERROR(FIND("素-",第二週!$H$42),0)=1),"",","),IF(IFERROR(FIND("素-",第二週!$H$42),0)=1,"",第二週!$H$42))</f>
        <v/>
      </c>
      <c r="E20" s="21" t="str">
        <f>_xlfn.CONCAT(IF(IFERROR(FIND("素-",第二週!$H$49),0)=1,"",第二週!$H$49),IF(OR(第二週!$H$50=0,IFERROR(FIND("素-",第二週!$H$50),0)=1),"",","),IF(IFERROR(FIND("素-",第二週!$H$50),0)=1,"",第二週!$H$50),IF(OR(第二週!$H$51=0,IFERROR(FIND("素-",第二週!$H$51),0)=1),"",","),IF(IFERROR(FIND("素-",第二週!$H$51),0)=1,"",第二週!$H$51),IF(OR(第二週!$H$52=0,IFERROR(FIND("素-",第二週!$H$52),0)=1),"",","),IF(IFERROR(FIND("素-",第二週!$H$52),0)=1,"",第二週!$H$52),IF(OR(第二週!$H$53=0,IFERROR(FIND("素-",第二週!$H$53),0)=1),"",","),IF(IFERROR(FIND("素-",第二週!$H$53),0)=1,"",第二週!$H$53),IF(OR(第二週!$H$54=0,IFERROR(FIND("素-",第二週!$H$54),0)=1),"",","),IF(IFERROR(FIND("素-",第二週!$H$54),0)=1,"",第二週!$H$54),IF(OR(第二週!$H$55=0,IFERROR(FIND("素-",第二週!$H$55),0)=1),"",","),IF(IFERROR(FIND("素-",第二週!$H$55),0)=1,"",第二週!$H$55))</f>
        <v/>
      </c>
      <c r="F20" s="21" t="str">
        <f>_xlfn.CONCAT(IF(IFERROR(FIND("素-",第二週!$H$94),0)=1,"",第二週!$H$94),IF(OR(第二週!$H$95=0,IFERROR(FIND("素-",第二週!$H$95),0)=1),"",","),IF(IFERROR(FIND("素-",第二週!$H$95),0)=1,"",第二週!$H$95),IF(OR(第二週!$H$96=0,IFERROR(FIND("素-",第二週!$H$96),0)=1),"",","),IF(IFERROR(FIND("素-",第二週!$H$96),0)=1,"",第二週!$H$96),IF(OR(第二週!$H$97=0,IFERROR(FIND("素-",第二週!$H$97),0)=1),"",","),IF(IFERROR(FIND("素-",第二週!$H$97),0)=1,"",第二週!$H$97),IF(OR(第二週!$H$98=0,IFERROR(FIND("素-",第二週!$H$98),0)=1),"",","),IF(IFERROR(FIND("素-",第二週!$H$98),0)=1,"",第二週!$H$98),IF(OR(第二週!$H$99=0,IFERROR(FIND("素-",第二週!$H$99),0)=1),"",","),IF(IFERROR(FIND("素-",第二週!$H$99),0)=1,"",第二週!$H$99),IF(OR(第二週!$H$100=0,IFERROR(FIND("素-",第二週!$H$100),0)=1),"",","),IF(IFERROR(FIND("素-",第二週!$H$100),0)=1,"",第二週!$H$100))</f>
        <v/>
      </c>
      <c r="G20" s="21" t="str">
        <f>_xlfn.CONCAT(IF(IFERROR(FIND("素-",第二週!$H$109),0)=1,"",第二週!$H$109),IF(OR(第二週!$H$110=0,IFERROR(FIND("素-",第二週!$H$110),0)=1),"",","),IF(IFERROR(FIND("素-",第二週!$H$110),0)=1,"",第二週!$H$110),IF(OR(第二週!$H$111=0,IFERROR(FIND("素-",第二週!$H$111),0)=1),"",","),IF(IFERROR(FIND("素-",第二週!$H$111),0)=1,"",第二週!$H$111),IF(OR(第二週!$H$112=0,IFERROR(FIND("素-",第二週!$H$112),0)=1),"",","),IF(IFERROR(FIND("素-",第二週!$H$112),0)=1,"",第二週!$H$112),IF(OR(第二週!$H$113=0,IFERROR(FIND("素-",第二週!$H$113),0)=1),"",","),IF(IFERROR(FIND("素-",第二週!$H$113),0)=1,"",第二週!$H$113),IF(OR(第二週!$H$114=0,IFERROR(FIND("素-",第二週!$H$114),0)=1),"",","),IF(IFERROR(FIND("素-",第二週!$H$114),0)=1,"",第二週!$H$114),IF(OR(第二週!$H$115=0,IFERROR(FIND("素-",第二週!$H$115),0)=1),"",","),IF(IFERROR(FIND("素-",第二週!$H$115),0)=1,"",第二週!$H$115))</f>
        <v/>
      </c>
      <c r="H20" s="21" t="str">
        <f>_xlfn.CONCAT(IF(IFERROR(FIND("素-",第二週!$H$199),0)=1,"",第二週!$H$199),IF(OR(第二週!$H$200=0,IFERROR(FIND("素-",第二週!$H$200),0)=1),"",","),IF(IFERROR(FIND("素-",第二週!$H$200),0)=1,"",第二週!$H$200),IF(OR(第二週!$H$201=0,IFERROR(FIND("素-",第二週!$H$201),0)=1),"",","),IF(IFERROR(FIND("素-",第二週!$H$201),0)=1,"",第二週!$H$201),IF(OR(第二週!$H$202=0,IFERROR(FIND("素-",第二週!$H$202),0)=1),"",","),IF(IFERROR(FIND("素-",第二週!$H$202),0)=1,"",第二週!$H$202),IF(OR(第二週!$H$203=0,IFERROR(FIND("素-",第二週!$H$203),0)=1),"",","),IF(IFERROR(FIND("素-",第二週!$H$203),0)=1,"",第二週!$H$203),IF(OR(第二週!$H$204=0,IFERROR(FIND("素-",第二週!$H$204),0)=1),"",","),IF(IFERROR(FIND("素-",第二週!$H$204),0)=1,"",第二週!$H$204),IF(OR(第二週!$H$205=0,IFERROR(FIND("素-",第二週!$H$205),0)=1),"",","),IF(IFERROR(FIND("素-",第二週!$H$205),0)=1,"",第二週!$H$205),IF(OR(第二週!$H$206=0,IFERROR(FIND("素-",第二週!$H$206),0)=1),"",","),IF(IFERROR(FIND("素-",第二週!$H$206),0)=1,"",第二週!$H$206))</f>
        <v/>
      </c>
      <c r="I20" s="474"/>
      <c r="J20" s="482"/>
      <c r="K20" s="482"/>
    </row>
    <row r="21" spans="1:11" ht="49.9" customHeight="1">
      <c r="A21" s="475">
        <f>IF(第二週!$L$2=0,"",第二週!$L$2)</f>
        <v>45454</v>
      </c>
      <c r="B21" s="477" t="s">
        <v>23</v>
      </c>
      <c r="C21" s="479" t="str">
        <f>IF(第二週!$L$4=0,"",第二週!$L$4)</f>
        <v>白飯</v>
      </c>
      <c r="D21" s="81" t="str">
        <f>IF(第二週!$L$34=0,"",第二週!$L$34)</f>
        <v>滷豬腳</v>
      </c>
      <c r="E21" s="81" t="str">
        <f>IF(第二週!$L$49=0,"",第二週!$L$49)</f>
        <v/>
      </c>
      <c r="F21" s="82" t="str">
        <f>IF(第二週!$L$94=0,"",第二週!$L$94)</f>
        <v>彩椒花椰</v>
      </c>
      <c r="G21" s="82" t="str">
        <f>IF(第二週!$L$109=0,"",第二週!$L$109)</f>
        <v>芋香大白</v>
      </c>
      <c r="H21" s="82" t="str">
        <f>IF(第二週!$L$199=0,"",第二週!$L$199)</f>
        <v>雙色蘿蔔湯</v>
      </c>
      <c r="I21" s="473" t="str">
        <f>IF(第二週!$L$184=0,"",第二週!$L$184)</f>
        <v>清炒時蔬</v>
      </c>
      <c r="J21" s="481" t="str">
        <f>IF(第二週!$L$214=0,"",第二週!$L$214)</f>
        <v>牛奶</v>
      </c>
      <c r="K21" s="481" t="str">
        <f>IF(第二週!$L$234=0,"",第二週!$L$234)</f>
        <v/>
      </c>
    </row>
    <row r="22" spans="1:11" s="22" customFormat="1" ht="25.15" customHeight="1">
      <c r="A22" s="476"/>
      <c r="B22" s="478"/>
      <c r="C22" s="480"/>
      <c r="D22" s="21" t="str">
        <f>_xlfn.CONCAT(IF(IFERROR(FIND("素-",第二週!$M$34),0)=1,"",第二週!$M$34),IF(OR(第二週!$M$35=0,IFERROR(FIND("素-",第二週!$M$35),0)=1),"",","),IF(IFERROR(FIND("素-",第二週!$M$35),0)=1,"",第二週!$M$35),IF(OR(第二週!$M$36=0,IFERROR(FIND("素-",第二週!$M$36),0)=1),"",","),IF(IFERROR(FIND("素-",第二週!$M$36),0)=1,"",第二週!$M$36),IF(OR(第二週!$M$37=0,IFERROR(FIND("素-",第二週!$M$37),0)=1),"",","),IF(IFERROR(FIND("素-",第二週!$M$37),0)=1,"",第二週!$M$37),IF(OR(第二週!$M$38=0,IFERROR(FIND("素-",第二週!$M$38),0)=1),"",","),IF(IFERROR(FIND("素-",第二週!$M$38),0)=1,"",第二週!$M$38),IF(OR(第二週!$M$39=0,IFERROR(FIND("素-",第二週!$M$39),0)=1),"",","),IF(IFERROR(FIND("素-",第二週!$M$39),0)=1,"",第二週!$M$39),IF(OR(第二週!$M$40=0,IFERROR(FIND("素-",第二週!$M$40),0)=1),"",","),IF(IFERROR(FIND("素-",第二週!$M$40),0)=1,"",第二週!$M$40),IF(OR(第二週!$M$41=0,IFERROR(FIND("素-",第二週!$M$41),0)=1),"",","),IF(IFERROR(FIND("素-",第二週!$M$41),0)=1,"",第二週!$M$41),IF(OR(第二週!$M$42=0,IFERROR(FIND("素-",第二週!$M$42),0)=1),"",","),IF(IFERROR(FIND("素-",第二週!$M$42),0)=1,"",第二週!$M$42))</f>
        <v>豬前腿肉,豬腳,小三角油豆腐,胡蘿蔔,滷包,青蔥,蒜仁,薑絲</v>
      </c>
      <c r="E22" s="21"/>
      <c r="F22" s="21" t="str">
        <f>_xlfn.CONCAT(IF(IFERROR(FIND("素-",第二週!$M$94),0)=1,"",第二週!$M$94),IF(OR(第二週!$M$95=0,IFERROR(FIND("素-",第二週!$M$95),0)=1),"",","),IF(IFERROR(FIND("素-",第二週!$M$95),0)=1,"",第二週!$M$95),IF(OR(第二週!$M$96=0,IFERROR(FIND("素-",第二週!$M$96),0)=1),"",","),IF(IFERROR(FIND("素-",第二週!$M$96),0)=1,"",第二週!$M$96),IF(OR(第二週!$M$97=0,IFERROR(FIND("素-",第二週!$M$97),0)=1),"",","),IF(IFERROR(FIND("素-",第二週!$M$97),0)=1,"",第二週!$M$97),IF(OR(第二週!$M$98=0,IFERROR(FIND("素-",第二週!$M$98),0)=1),"",","),IF(IFERROR(FIND("素-",第二週!$M$98),0)=1,"",第二週!$M$98),IF(OR(第二週!$M$99=0,IFERROR(FIND("素-",第二週!$M$99),0)=1),"",","),IF(IFERROR(FIND("素-",第二週!$M$99),0)=1,"",第二週!$M$99),IF(OR(第二週!$M$100=0,IFERROR(FIND("素-",第二週!$M$100),0)=1),"",","),IF(IFERROR(FIND("素-",第二週!$M$100),0)=1,"",第二週!$M$100))</f>
        <v>冷凍青花菜,紅甜椒,黃甜椒,生香菇,木耳</v>
      </c>
      <c r="G22" s="21" t="str">
        <f>_xlfn.CONCAT(IF(IFERROR(FIND("素-",第二週!$M$109),0)=1,"",第二週!$M$109),IF(OR(第二週!$M$110=0,IFERROR(FIND("素-",第二週!$M$110),0)=1),"",","),IF(IFERROR(FIND("素-",第二週!$M$110),0)=1,"",第二週!$M$110),IF(OR(第二週!$M$111=0,IFERROR(FIND("素-",第二週!$M$111),0)=1),"",","),IF(IFERROR(FIND("素-",第二週!$M$111),0)=1,"",第二週!$M$111),IF(OR(第二週!$M$112=0,IFERROR(FIND("素-",第二週!$M$112),0)=1),"",","),IF(IFERROR(FIND("素-",第二週!$M$112),0)=1,"",第二週!$M$112),IF(OR(第二週!$M$113=0,IFERROR(FIND("素-",第二週!$M$113),0)=1),"",","),IF(IFERROR(FIND("素-",第二週!$M$113),0)=1,"",第二週!$M$113),IF(OR(第二週!$M$114=0,IFERROR(FIND("素-",第二週!$M$114),0)=1),"",","),IF(IFERROR(FIND("素-",第二週!$M$114),0)=1,"",第二週!$M$114),IF(OR(第二週!$M$115=0,IFERROR(FIND("素-",第二週!$M$115),0)=1),"",","),IF(IFERROR(FIND("素-",第二週!$M$115),0)=1,"",第二週!$M$115))</f>
        <v>大白菜,冷凍芋頭丁,生香菇</v>
      </c>
      <c r="H22" s="21" t="str">
        <f>_xlfn.CONCAT(IF(IFERROR(FIND("素-",第二週!$M$199),0)=1,"",第二週!$M$199),IF(OR(第二週!$M$200=0,IFERROR(FIND("素-",第二週!$M$200),0)=1),"",","),IF(IFERROR(FIND("素-",第二週!$M$200),0)=1,"",第二週!$M$200),IF(OR(第二週!$M$201=0,IFERROR(FIND("素-",第二週!$M$201),0)=1),"",","),IF(IFERROR(FIND("素-",第二週!$M$201),0)=1,"",第二週!$M$201),IF(OR(第二週!$M$202=0,IFERROR(FIND("素-",第二週!$M$202),0)=1),"",","),IF(IFERROR(FIND("素-",第二週!$M$202),0)=1,"",第二週!$M$202),IF(OR(第二週!$M$203=0,IFERROR(FIND("素-",第二週!$M$203),0)=1),"",","),IF(IFERROR(FIND("素-",第二週!$M$203),0)=1,"",第二週!$M$203),IF(OR(第二週!$M$204=0,IFERROR(FIND("素-",第二週!$M$204),0)=1),"",","),IF(IFERROR(FIND("素-",第二週!$M$204),0)=1,"",第二週!$M$204),IF(OR(第二週!$M$205=0,IFERROR(FIND("素-",第二週!$M$205),0)=1),"",","),IF(IFERROR(FIND("素-",第二週!$M$205),0)=1,"",第二週!$M$205),IF(OR(第二週!$M$206=0,IFERROR(FIND("素-",第二週!$M$206),0)=1),"",","),IF(IFERROR(FIND("素-",第二週!$M$206),0)=1,"",第二週!$M$206))</f>
        <v>白蘿蔔,胡蘿蔔,中排</v>
      </c>
      <c r="I22" s="474"/>
      <c r="J22" s="482"/>
      <c r="K22" s="482"/>
    </row>
    <row r="23" spans="1:11" ht="49.9" customHeight="1">
      <c r="A23" s="475">
        <f>IF(第二週!$Q$2=0,"",第二週!$Q$2)</f>
        <v>45455</v>
      </c>
      <c r="B23" s="477" t="s">
        <v>24</v>
      </c>
      <c r="C23" s="479" t="str">
        <f>IF(第二週!$Q$4=0,"",第二週!$Q$4)</f>
        <v>螺旋麵</v>
      </c>
      <c r="D23" s="81" t="str">
        <f>IF(第二週!$Q$34=0,"",第二週!$Q$34)</f>
        <v>茄汁義大利麵</v>
      </c>
      <c r="E23" s="81" t="str">
        <f>IF(第二週!$Q$49=0,"",第二週!$Q$49)</f>
        <v>奶皇包</v>
      </c>
      <c r="F23" s="82" t="str">
        <f>IF(第二週!$Q$94=0,"",第二週!$Q$94)</f>
        <v/>
      </c>
      <c r="G23" s="82" t="str">
        <f>IF(第二週!$Q$109=0,"",第二週!$Q$109)</f>
        <v>風味四季豆</v>
      </c>
      <c r="H23" s="82" t="str">
        <f>IF(第二週!$Q$199=0,"",第二週!$Q$199)</f>
        <v>玉米濃湯</v>
      </c>
      <c r="I23" s="473" t="str">
        <f>IF(第二週!$Q$184=0,"",第二週!$Q$184)</f>
        <v>清炒時蔬</v>
      </c>
      <c r="J23" s="481" t="str">
        <f>IF(第二週!$Q$214=0,"",第二週!$Q$214)</f>
        <v>水果</v>
      </c>
      <c r="K23" s="481" t="str">
        <f>IF(第二週!$Q$219=0,"",第二週!$Q$219)</f>
        <v>豆漿</v>
      </c>
    </row>
    <row r="24" spans="1:11" s="22" customFormat="1" ht="25.15" customHeight="1">
      <c r="A24" s="476"/>
      <c r="B24" s="478"/>
      <c r="C24" s="480"/>
      <c r="D24" s="21" t="str">
        <f>_xlfn.CONCAT(IF(IFERROR(FIND("素-",第二週!$R$34),0)=1,"",第二週!$R$34),IF(OR(第二週!$R$35=0,IFERROR(FIND("素-",第二週!$R$35),0)=1),"",","),IF(IFERROR(FIND("素-",第二週!$R$35),0)=1,"",第二週!$R$35),IF(OR(第二週!$R$36=0,IFERROR(FIND("素-",第二週!$R$36),0)=1),"",","),IF(IFERROR(FIND("素-",第二週!$R$36),0)=1,"",第二週!$R$36),IF(OR(第二週!$R$37=0,IFERROR(FIND("素-",第二週!$R$37),0)=1),"",","),IF(IFERROR(FIND("素-",第二週!$R$37),0)=1,"",第二週!$R$37),IF(OR(第二週!$R$38=0,IFERROR(FIND("素-",第二週!$R$38),0)=1),"",","),IF(IFERROR(FIND("素-",第二週!$R$38),0)=1,"",第二週!$R$38),IF(OR(第二週!$R$39=0,IFERROR(FIND("素-",第二週!$R$39),0)=1),"",","),IF(IFERROR(FIND("素-",第二週!$R$39),0)=1,"",第二週!$R$39),IF(OR(第二週!$R$40=0,IFERROR(FIND("素-",第二週!$R$40),0)=1),"",","),IF(IFERROR(FIND("素-",第二週!$R$40),0)=1,"",第二週!$R$40),IF(OR(第二週!$R$41=0,IFERROR(FIND("素-",第二週!$R$41),0)=1),"",","),IF(IFERROR(FIND("素-",第二週!$R$41),0)=1,"",第二週!$R$41),IF(OR(第二週!$R$42=0,IFERROR(FIND("素-",第二週!$R$42),0)=1),"",","),IF(IFERROR(FIND("素-",第二週!$R$42),0)=1,"",第二週!$R$42))</f>
        <v>豬絞肉,洋蔥,番茄,冷凍三色豆,番茄糊,番茄醬,義大利香料,鴻喜菇</v>
      </c>
      <c r="E24" s="21" t="str">
        <f>_xlfn.CONCAT(IF(IFERROR(FIND("素-",第二週!$R$49),0)=1,"",第二週!$R$49),IF(OR(第二週!$R$50=0,IFERROR(FIND("素-",第二週!$R$50),0)=1),"",","),IF(IFERROR(FIND("素-",第二週!$R$50),0)=1,"",第二週!$R$50),IF(OR(第二週!$R$51=0,IFERROR(FIND("素-",第二週!$R$51),0)=1),"",","),IF(IFERROR(FIND("素-",第二週!$R$51),0)=1,"",第二週!$R$51),IF(OR(第二週!$R$52=0,IFERROR(FIND("素-",第二週!$R$52),0)=1),"",","),IF(IFERROR(FIND("素-",第二週!$R$52),0)=1,"",第二週!$R$52),IF(OR(第二週!$R$53=0,IFERROR(FIND("素-",第二週!$R$53),0)=1),"",","),IF(IFERROR(FIND("素-",第二週!$R$53),0)=1,"",第二週!$R$53),IF(OR(第二週!$R$54=0,IFERROR(FIND("素-",第二週!$R$54),0)=1),"",","),IF(IFERROR(FIND("素-",第二週!$R$54),0)=1,"",第二週!$R$54),IF(OR(第二週!$R$55=0,IFERROR(FIND("素-",第二週!$R$55),0)=1),"",","),IF(IFERROR(FIND("素-",第二週!$R$55),0)=1,"",第二週!$R$55))</f>
        <v>奶皇包</v>
      </c>
      <c r="F24" s="21" t="str">
        <f>_xlfn.CONCAT(IF(IFERROR(FIND("素-",第二週!$R$94),0)=1,"",第二週!$R$94),IF(OR(第二週!$R$95=0,IFERROR(FIND("素-",第二週!$R$95),0)=1),"",","),IF(IFERROR(FIND("素-",第二週!$R$95),0)=1,"",第二週!$R$95),IF(OR(第二週!$R$96=0,IFERROR(FIND("素-",第二週!$R$96),0)=1),"",","),IF(IFERROR(FIND("素-",第二週!$R$96),0)=1,"",第二週!$R$96),IF(OR(第二週!$R$97=0,IFERROR(FIND("素-",第二週!$R$97),0)=1),"",","),IF(IFERROR(FIND("素-",第二週!$R$97),0)=1,"",第二週!$R$97),IF(OR(第二週!$R$98=0,IFERROR(FIND("素-",第二週!$R$98),0)=1),"",","),IF(IFERROR(FIND("素-",第二週!$R$98),0)=1,"",第二週!$R$98),IF(OR(第二週!$R$99=0,IFERROR(FIND("素-",第二週!$R$99),0)=1),"",","),IF(IFERROR(FIND("素-",第二週!$R$99),0)=1,"",第二週!$R$99),IF(OR(第二週!$R$100=0,IFERROR(FIND("素-",第二週!$R$100),0)=1),"",","),IF(IFERROR(FIND("素-",第二週!$R$100),0)=1,"",第二週!$R$100))</f>
        <v/>
      </c>
      <c r="G24" s="21" t="str">
        <f>_xlfn.CONCAT(IF(IFERROR(FIND("素-",第二週!$R$109),0)=1,"",第二週!$R$109),IF(OR(第二週!$R$110=0,IFERROR(FIND("素-",第二週!$R$110),0)=1),"",","),IF(IFERROR(FIND("素-",第二週!$R$110),0)=1,"",第二週!$R$110),IF(OR(第二週!$R$111=0,IFERROR(FIND("素-",第二週!$R$111),0)=1),"",","),IF(IFERROR(FIND("素-",第二週!$R$111),0)=1,"",第二週!$R$111),IF(OR(第二週!$R$112=0,IFERROR(FIND("素-",第二週!$R$112),0)=1),"",","),IF(IFERROR(FIND("素-",第二週!$R$112),0)=1,"",第二週!$R$112),IF(OR(第二週!$R$113=0,IFERROR(FIND("素-",第二週!$R$113),0)=1),"",","),IF(IFERROR(FIND("素-",第二週!$R$113),0)=1,"",第二週!$R$113),IF(OR(第二週!$R$114=0,IFERROR(FIND("素-",第二週!$R$114),0)=1),"",","),IF(IFERROR(FIND("素-",第二週!$R$114),0)=1,"",第二週!$R$114),IF(OR(第二週!$R$115=0,IFERROR(FIND("素-",第二週!$R$115),0)=1),"",","),IF(IFERROR(FIND("素-",第二週!$R$115),0)=1,"",第二週!$R$115))</f>
        <v>冷凍四季豆,大蒜,豬絞肉</v>
      </c>
      <c r="H24" s="21" t="str">
        <f>_xlfn.CONCAT(IF(IFERROR(FIND("素-",第二週!$R$199),0)=1,"",第二週!$R$199),IF(OR(第二週!$R$200=0,IFERROR(FIND("素-",第二週!$R$200),0)=1),"",","),IF(IFERROR(FIND("素-",第二週!$R$200),0)=1,"",第二週!$R$200),IF(OR(第二週!$R$201=0,IFERROR(FIND("素-",第二週!$R$201),0)=1),"",","),IF(IFERROR(FIND("素-",第二週!$R$201),0)=1,"",第二週!$R$201),IF(OR(第二週!$R$202=0,IFERROR(FIND("素-",第二週!$R$202),0)=1),"",","),IF(IFERROR(FIND("素-",第二週!$R$202),0)=1,"",第二週!$R$202),IF(OR(第二週!$R$203=0,IFERROR(FIND("素-",第二週!$R$203),0)=1),"",","),IF(IFERROR(FIND("素-",第二週!$R$203),0)=1,"",第二週!$R$203),IF(OR(第二週!$R$204=0,IFERROR(FIND("素-",第二週!$R$204),0)=1),"",","),IF(IFERROR(FIND("素-",第二週!$R$204),0)=1,"",第二週!$R$204),IF(OR(第二週!$R$205=0,IFERROR(FIND("素-",第二週!$R$205),0)=1),"",","),IF(IFERROR(FIND("素-",第二週!$R$205),0)=1,"",第二週!$R$205),IF(OR(第二週!$R$206=0,IFERROR(FIND("素-",第二週!$R$206),0)=1),"",","),IF(IFERROR(FIND("素-",第二週!$R$206),0)=1,"",第二週!$R$206))</f>
        <v>冷凍玉米粒,冷凍洋芋丁,雞蛋,全脂奶粉</v>
      </c>
      <c r="I24" s="474"/>
      <c r="J24" s="482"/>
      <c r="K24" s="482"/>
    </row>
    <row r="25" spans="1:11" ht="49.9" customHeight="1">
      <c r="A25" s="475">
        <f>IF(第二週!$V$2=0,"",第二週!$V$2)</f>
        <v>45456</v>
      </c>
      <c r="B25" s="477" t="s">
        <v>25</v>
      </c>
      <c r="C25" s="479" t="str">
        <f>IF(第二週!$V$4=0,"",第二週!$V$4)</f>
        <v>麥片飯</v>
      </c>
      <c r="D25" s="81" t="str">
        <f>IF(第二週!$V$34=0,"",第二週!$V$34)</f>
        <v>蔥油雞</v>
      </c>
      <c r="E25" s="81" t="str">
        <f>IF(第二週!$V$49=0,"",第二週!$V$49)</f>
        <v/>
      </c>
      <c r="F25" s="82" t="str">
        <f>IF(第二週!$V$94=0,"",第二週!$V$94)</f>
        <v>綜合滷味</v>
      </c>
      <c r="G25" s="82" t="str">
        <f>IF(第二週!$V$109=0,"",第二週!$V$109)</f>
        <v>客家小炒</v>
      </c>
      <c r="H25" s="82" t="str">
        <f>IF(第二週!$V$199=0,"",第二週!$V$199)</f>
        <v>香菇竹筍湯</v>
      </c>
      <c r="I25" s="473" t="str">
        <f>IF(第二週!$V$184=0,"",第二週!$V$184)</f>
        <v>清炒時蔬</v>
      </c>
      <c r="J25" s="481" t="str">
        <f>IF(第二週!$V$214=0,"",第二週!$V$214)</f>
        <v>牛奶</v>
      </c>
      <c r="K25" s="481" t="str">
        <f>IF(第二週!$V$234=0,"",第二週!$V$234)</f>
        <v/>
      </c>
    </row>
    <row r="26" spans="1:11" s="22" customFormat="1" ht="25.15" customHeight="1">
      <c r="A26" s="476"/>
      <c r="B26" s="478"/>
      <c r="C26" s="480"/>
      <c r="D26" s="21" t="str">
        <f>_xlfn.CONCAT(IF(IFERROR(FIND("素-",第二週!$W$34),0)=1,"",第二週!$W$34),IF(OR(第二週!$W$35=0,IFERROR(FIND("素-",第二週!$W$35),0)=1),"",","),IF(IFERROR(FIND("素-",第二週!$W$35),0)=1,"",第二週!$W$35),IF(OR(第二週!$W$36=0,IFERROR(FIND("素-",第二週!$W$36),0)=1),"",","),IF(IFERROR(FIND("素-",第二週!$W$36),0)=1,"",第二週!$W$36),IF(OR(第二週!$W$37=0,IFERROR(FIND("素-",第二週!$W$37),0)=1),"",","),IF(IFERROR(FIND("素-",第二週!$W$37),0)=1,"",第二週!$W$37),IF(OR(第二週!$W$38=0,IFERROR(FIND("素-",第二週!$W$38),0)=1),"",","),IF(IFERROR(FIND("素-",第二週!$W$38),0)=1,"",第二週!$W$38),IF(OR(第二週!$W$39=0,IFERROR(FIND("素-",第二週!$W$39),0)=1),"",","),IF(IFERROR(FIND("素-",第二週!$W$39),0)=1,"",第二週!$W$39),IF(OR(第二週!$W$40=0,IFERROR(FIND("素-",第二週!$W$40),0)=1),"",","),IF(IFERROR(FIND("素-",第二週!$W$40),0)=1,"",第二週!$W$40),IF(OR(第二週!$W$41=0,IFERROR(FIND("素-",第二週!$W$41),0)=1),"",","),IF(IFERROR(FIND("素-",第二週!$W$41),0)=1,"",第二週!$W$41),IF(OR(第二週!$W$42=0,IFERROR(FIND("素-",第二週!$W$42),0)=1),"",","),IF(IFERROR(FIND("素-",第二週!$W$42),0)=1,"",第二週!$W$42))</f>
        <v>骨腿,雞清胸肉,白蘿蔔,青蔥</v>
      </c>
      <c r="E26" s="21" t="str">
        <f>_xlfn.CONCAT(IF(IFERROR(FIND("素-",第二週!$W$49),0)=1,"",第二週!$W$49),IF(OR(第二週!$W$50=0,IFERROR(FIND("素-",第二週!$W$50),0)=1),"",","),IF(IFERROR(FIND("素-",第二週!$W$50),0)=1,"",第二週!$W$50),IF(OR(第二週!$W$51=0,IFERROR(FIND("素-",第二週!$W$51),0)=1),"",","),IF(IFERROR(FIND("素-",第二週!$W$51),0)=1,"",第二週!$W$51),IF(OR(第二週!$W$52=0,IFERROR(FIND("素-",第二週!$W$52),0)=1),"",","),IF(IFERROR(FIND("素-",第二週!$W$52),0)=1,"",第二週!$W$52),IF(OR(第二週!$W$53=0,IFERROR(FIND("素-",第二週!$W$53),0)=1),"",","),IF(IFERROR(FIND("素-",第二週!$W$53),0)=1,"",第二週!$W$53),IF(OR(第二週!$W$54=0,IFERROR(FIND("素-",第二週!$W$54),0)=1),"",","),IF(IFERROR(FIND("素-",第二週!$W$54),0)=1,"",第二週!$W$54),IF(OR(第二週!$W$55=0,IFERROR(FIND("素-",第二週!$W$55),0)=1),"",","),IF(IFERROR(FIND("素-",第二週!$W$55),0)=1,"",第二週!$W$55))</f>
        <v/>
      </c>
      <c r="F26" s="21" t="str">
        <f>_xlfn.CONCAT(IF(IFERROR(FIND("素-",第二週!$W$94),0)=1,"",第二週!$W$94),IF(OR(第二週!$W$95=0,IFERROR(FIND("素-",第二週!$W$95),0)=1),"",","),IF(IFERROR(FIND("素-",第二週!$W$95),0)=1,"",第二週!$W$95),IF(OR(第二週!$W$96=0,IFERROR(FIND("素-",第二週!$W$96),0)=1),"",","),IF(IFERROR(FIND("素-",第二週!$W$96),0)=1,"",第二週!$W$96),IF(OR(第二週!$W$97=0,IFERROR(FIND("素-",第二週!$W$97),0)=1),"",","),IF(IFERROR(FIND("素-",第二週!$W$97),0)=1,"",第二週!$W$97),IF(OR(第二週!$W$98=0,IFERROR(FIND("素-",第二週!$W$98),0)=1),"",","),IF(IFERROR(FIND("素-",第二週!$W$98),0)=1,"",第二週!$W$98),IF(OR(第二週!$W$99=0,IFERROR(FIND("素-",第二週!$W$99),0)=1),"",","),IF(IFERROR(FIND("素-",第二週!$W$99),0)=1,"",第二週!$W$99),IF(OR(第二週!$W$100=0,IFERROR(FIND("素-",第二週!$W$100),0)=1),"",","),IF(IFERROR(FIND("素-",第二週!$W$100),0)=1,"",第二週!$W$100))</f>
        <v>杏鮑菇,小三角油豆腐,白蘿蔔,海帶結</v>
      </c>
      <c r="G26" s="21" t="str">
        <f>_xlfn.CONCAT(IF(IFERROR(FIND("素-",第二週!$W$109),0)=1,"",第二週!$W$109),IF(OR(第二週!$W$110=0,IFERROR(FIND("素-",第二週!$W$110),0)=1),"",","),IF(IFERROR(FIND("素-",第二週!$W$110),0)=1,"",第二週!$W$110),IF(OR(第二週!$W$111=0,IFERROR(FIND("素-",第二週!$W$111),0)=1),"",","),IF(IFERROR(FIND("素-",第二週!$W$111),0)=1,"",第二週!$W$111),IF(OR(第二週!$W$112=0,IFERROR(FIND("素-",第二週!$W$112),0)=1),"",","),IF(IFERROR(FIND("素-",第二週!$W$112),0)=1,"",第二週!$W$112),IF(OR(第二週!$W$113=0,IFERROR(FIND("素-",第二週!$W$113),0)=1),"",","),IF(IFERROR(FIND("素-",第二週!$W$113),0)=1,"",第二週!$W$113),IF(OR(第二週!$W$114=0,IFERROR(FIND("素-",第二週!$W$114),0)=1),"",","),IF(IFERROR(FIND("素-",第二週!$W$114),0)=1,"",第二週!$W$114),IF(OR(第二週!$W$115=0,IFERROR(FIND("素-",第二週!$W$115),0)=1),"",","),IF(IFERROR(FIND("素-",第二週!$W$115),0)=1,"",第二週!$W$115))</f>
        <v>黃豆干,芹菜,豬前腿肉,魷魚短絲</v>
      </c>
      <c r="H26" s="21" t="str">
        <f>_xlfn.CONCAT(IF(IFERROR(FIND("素-",第二週!$W$199),0)=1,"",第二週!$W$199),IF(OR(第二週!$W$200=0,IFERROR(FIND("素-",第二週!$W$200),0)=1),"",","),IF(IFERROR(FIND("素-",第二週!$W$200),0)=1,"",第二週!$W$200),IF(OR(第二週!$W$201=0,IFERROR(FIND("素-",第二週!$W$201),0)=1),"",","),IF(IFERROR(FIND("素-",第二週!$W$201),0)=1,"",第二週!$W$201),IF(OR(第二週!$W$202=0,IFERROR(FIND("素-",第二週!$W$202),0)=1),"",","),IF(IFERROR(FIND("素-",第二週!$W$202),0)=1,"",第二週!$W$202),IF(OR(第二週!$W$203=0,IFERROR(FIND("素-",第二週!$W$203),0)=1),"",","),IF(IFERROR(FIND("素-",第二週!$W$203),0)=1,"",第二週!$W$203),IF(OR(第二週!$W$204=0,IFERROR(FIND("素-",第二週!$W$204),0)=1),"",","),IF(IFERROR(FIND("素-",第二週!$W$204),0)=1,"",第二週!$W$204),IF(OR(第二週!$W$205=0,IFERROR(FIND("素-",第二週!$W$205),0)=1),"",","),IF(IFERROR(FIND("素-",第二週!$W$205),0)=1,"",第二週!$W$205),IF(OR(第二週!$W$206=0,IFERROR(FIND("素-",第二週!$W$206),0)=1),"",","),IF(IFERROR(FIND("素-",第二週!$W$206),0)=1,"",第二週!$W$206))</f>
        <v>乾香菇,脆筍片,大骨</v>
      </c>
      <c r="I26" s="474"/>
      <c r="J26" s="482"/>
      <c r="K26" s="482"/>
    </row>
    <row r="27" spans="1:11" ht="49.9" customHeight="1">
      <c r="A27" s="475">
        <f>IF(第二週!$AA$2=0,"",第二週!$AA$2)</f>
        <v>45457</v>
      </c>
      <c r="B27" s="477" t="s">
        <v>37</v>
      </c>
      <c r="C27" s="479" t="str">
        <f>IF(第二週!$AA$4=0,"",第二週!$AA$4)</f>
        <v>白飯</v>
      </c>
      <c r="D27" s="81" t="str">
        <f>IF(第二週!$AA$34=0,"",第二週!$AA$34)</f>
        <v>蒙古炒肉</v>
      </c>
      <c r="E27" s="81" t="str">
        <f>IF(第二週!$AA$49=0,"",第二週!$AA$49)</f>
        <v/>
      </c>
      <c r="F27" s="82" t="str">
        <f>IF(第二週!$AA$94=0,"",第二週!$AA$94)</f>
        <v>洋芋玉米蛋</v>
      </c>
      <c r="G27" s="82" t="str">
        <f>IF(第二週!$AA$109=0,"",第二週!$AA$109)</f>
        <v>塔香海根</v>
      </c>
      <c r="H27" s="82" t="str">
        <f>IF(第二週!$AA$199=0,"",第二週!$AA$199)</f>
        <v>鮮菇冬瓜湯</v>
      </c>
      <c r="I27" s="473" t="str">
        <f>IF(第二週!$AA$184=0,"",第二週!$AA$184)</f>
        <v>清炒時蔬</v>
      </c>
      <c r="J27" s="481" t="str">
        <f>IF(第二週!$AA$214=0,"",第二週!$AA$214)</f>
        <v>水果</v>
      </c>
      <c r="K27" s="481" t="str">
        <f>IF(第二週!$AA$234=0,"",第二週!$AA$234)</f>
        <v/>
      </c>
    </row>
    <row r="28" spans="1:11" s="22" customFormat="1" ht="25.15" customHeight="1">
      <c r="A28" s="476"/>
      <c r="B28" s="478"/>
      <c r="C28" s="480"/>
      <c r="D28" s="21" t="str">
        <f>_xlfn.CONCAT(IF(IFERROR(FIND("素-",第二週!$AB$34),0)=1,"",第二週!$AB$34),IF(OR(第二週!$AB$35=0,IFERROR(FIND("素-",第二週!$AB$35),0)=1),"",","),IF(IFERROR(FIND("素-",第二週!$AB$35),0)=1,"",第二週!$AB$35),IF(OR(第二週!$AB$36=0,IFERROR(FIND("素-",第二週!$AB$36),0)=1),"",","),IF(IFERROR(FIND("素-",第二週!$AB$36),0)=1,"",第二週!$AB$36),IF(OR(第二週!$AB$37=0,IFERROR(FIND("素-",第二週!$AB$37),0)=1),"",","),IF(IFERROR(FIND("素-",第二週!$AB$37),0)=1,"",第二週!$AB$37),IF(OR(第二週!$AB$38=0,IFERROR(FIND("素-",第二週!$AB$38),0)=1),"",","),IF(IFERROR(FIND("素-",第二週!$AB$38),0)=1,"",第二週!$AB$38),IF(OR(第二週!$AB$39=0,IFERROR(FIND("素-",第二週!$AB$39),0)=1),"",","),IF(IFERROR(FIND("素-",第二週!$AB$39),0)=1,"",第二週!$AB$39),IF(OR(第二週!$AB$40=0,IFERROR(FIND("素-",第二週!$AB$40),0)=1),"",","),IF(IFERROR(FIND("素-",第二週!$AB$40),0)=1,"",第二週!$AB$40),IF(OR(第二週!$AB$41=0,IFERROR(FIND("素-",第二週!$AB$41),0)=1),"",","),IF(IFERROR(FIND("素-",第二週!$AB$41),0)=1,"",第二週!$AB$41),IF(OR(第二週!$AB$42=0,IFERROR(FIND("素-",第二週!$AB$42),0)=1),"",","),IF(IFERROR(FIND("素-",第二週!$AB$42),0)=1,"",第二週!$AB$42))</f>
        <v>豬前腿肉,黃豆干,高麗菜,綠豆芽,洋蔥,大蒜</v>
      </c>
      <c r="E28" s="21"/>
      <c r="F28" s="21" t="str">
        <f>_xlfn.CONCAT(IF(IFERROR(FIND("素-",第二週!$AB$94),0)=1,"",第二週!$AB$94),IF(OR(第二週!$AB$95=0,IFERROR(FIND("素-",第二週!$AB$95),0)=1),"",","),IF(IFERROR(FIND("素-",第二週!$AB$95),0)=1,"",第二週!$AB$95),IF(OR(第二週!$AB$96=0,IFERROR(FIND("素-",第二週!$AB$96),0)=1),"",","),IF(IFERROR(FIND("素-",第二週!$AB$96),0)=1,"",第二週!$AB$96),IF(OR(第二週!$AB$97=0,IFERROR(FIND("素-",第二週!$AB$97),0)=1),"",","),IF(IFERROR(FIND("素-",第二週!$AB$97),0)=1,"",第二週!$AB$97),IF(OR(第二週!$AB$98=0,IFERROR(FIND("素-",第二週!$AB$98),0)=1),"",","),IF(IFERROR(FIND("素-",第二週!$AB$98),0)=1,"",第二週!$AB$98),IF(OR(第二週!$AB$99=0,IFERROR(FIND("素-",第二週!$AB$99),0)=1),"",","),IF(IFERROR(FIND("素-",第二週!$AB$99),0)=1,"",第二週!$AB$99),IF(OR(第二週!$AB$100=0,IFERROR(FIND("素-",第二週!$AB$100),0)=1),"",","),IF(IFERROR(FIND("素-",第二週!$AB$100),0)=1,"",第二週!$AB$100))</f>
        <v>冷凍洋芋,冷凍玉米粒,雞蛋</v>
      </c>
      <c r="G28" s="21" t="str">
        <f>_xlfn.CONCAT(IF(IFERROR(FIND("素-",第二週!$AB$109),0)=1,"",第二週!$AB$109),IF(OR(第二週!$AB$110=0,IFERROR(FIND("素-",第二週!$AB$110),0)=1),"",","),IF(IFERROR(FIND("素-",第二週!$AB$110),0)=1,"",第二週!$AB$110),IF(OR(第二週!$AB$111=0,IFERROR(FIND("素-",第二週!$AB$111),0)=1),"",","),IF(IFERROR(FIND("素-",第二週!$AB$111),0)=1,"",第二週!$AB$111),IF(OR(第二週!$AB$112=0,IFERROR(FIND("素-",第二週!$AB$112),0)=1),"",","),IF(IFERROR(FIND("素-",第二週!$AB$112),0)=1,"",第二週!$AB$112),IF(OR(第二週!$AB$113=0,IFERROR(FIND("素-",第二週!$AB$113),0)=1),"",","),IF(IFERROR(FIND("素-",第二週!$AB$113),0)=1,"",第二週!$AB$113),IF(OR(第二週!$AB$114=0,IFERROR(FIND("素-",第二週!$AB$114),0)=1),"",","),IF(IFERROR(FIND("素-",第二週!$AB$114),0)=1,"",第二週!$AB$114),IF(OR(第二週!$AB$115=0,IFERROR(FIND("素-",第二週!$AB$115),0)=1),"",","),IF(IFERROR(FIND("素-",第二週!$AB$115),0)=1,"",第二週!$AB$115))</f>
        <v>海帶根,九層塔</v>
      </c>
      <c r="H28" s="21" t="str">
        <f>_xlfn.CONCAT(IF(IFERROR(FIND("素-",第二週!$AB$199),0)=1,"",第二週!$AB$199),IF(OR(第二週!$AB$200=0,IFERROR(FIND("素-",第二週!$AB$200),0)=1),"",","),IF(IFERROR(FIND("素-",第二週!$AB$200),0)=1,"",第二週!$AB$200),IF(OR(第二週!$AB$201=0,IFERROR(FIND("素-",第二週!$AB$201),0)=1),"",","),IF(IFERROR(FIND("素-",第二週!$AB$201),0)=1,"",第二週!$AB$201),IF(OR(第二週!$AB$202=0,IFERROR(FIND("素-",第二週!$AB$202),0)=1),"",","),IF(IFERROR(FIND("素-",第二週!$AB$202),0)=1,"",第二週!$AB$202),IF(OR(第二週!$AB$203=0,IFERROR(FIND("素-",第二週!$AB$203),0)=1),"",","),IF(IFERROR(FIND("素-",第二週!$AB$203),0)=1,"",第二週!$AB$203),IF(OR(第二週!$AB$204=0,IFERROR(FIND("素-",第二週!$AB$204),0)=1),"",","),IF(IFERROR(FIND("素-",第二週!$AB$204),0)=1,"",第二週!$AB$204),IF(OR(第二週!$AB$205=0,IFERROR(FIND("素-",第二週!$AB$205),0)=1),"",","),IF(IFERROR(FIND("素-",第二週!$AB$205),0)=1,"",第二週!$AB$205),IF(OR(第二週!$AB$206=0,IFERROR(FIND("素-",第二週!$AB$206),0)=1),"",","),IF(IFERROR(FIND("素-",第二週!$AB$206),0)=1,"",第二週!$AB$206))</f>
        <v>生香菇,冬瓜,大骨</v>
      </c>
      <c r="I28" s="474"/>
      <c r="J28" s="482"/>
      <c r="K28" s="482"/>
    </row>
    <row r="29" spans="1:11" ht="49.9" hidden="1" customHeight="1">
      <c r="A29" s="475" t="str">
        <f>IF(第二週!$AF$2=0,"",第二週!$AF$2)</f>
        <v/>
      </c>
      <c r="B29" s="477" t="s">
        <v>38</v>
      </c>
      <c r="C29" s="479" t="str">
        <f>IF(第二週!$AF$4=0,"",第二週!$AF$4)</f>
        <v>五穀飯</v>
      </c>
      <c r="D29" s="81" t="str">
        <f>IF(第二週!$AF$34=0,"",第二週!$AF$34)</f>
        <v/>
      </c>
      <c r="E29" s="81" t="str">
        <f>IF(第二週!$AF$49=0,"",第二週!$AF$49)</f>
        <v/>
      </c>
      <c r="F29" s="82" t="str">
        <f>IF(第二週!$AF$94=0,"",第二週!$AF$94)</f>
        <v/>
      </c>
      <c r="G29" s="82" t="str">
        <f>IF(第二週!$AF$109=0,"",第二週!$AF$109)</f>
        <v/>
      </c>
      <c r="H29" s="82" t="str">
        <f>IF(第二週!$AF$199=0,"",第二週!$AF$199)</f>
        <v/>
      </c>
      <c r="I29" s="473" t="str">
        <f>IF(第二週!$AF$184=0,"",第二週!$AF$184)</f>
        <v>清炒時蔬</v>
      </c>
      <c r="J29" s="481" t="str">
        <f>IF(第二週!$AF$214=0,"",第二週!$AF$214)</f>
        <v/>
      </c>
      <c r="K29" s="481" t="str">
        <f>IF(第二週!$AF$234=0,"",第二週!$AF$234)</f>
        <v/>
      </c>
    </row>
    <row r="30" spans="1:11" s="22" customFormat="1" ht="25.15" hidden="1" customHeight="1">
      <c r="A30" s="476"/>
      <c r="B30" s="478"/>
      <c r="C30" s="480"/>
      <c r="D30" s="21" t="str">
        <f>_xlfn.CONCAT(IF(IFERROR(FIND("素-",第二週!$AG$34),0)=1,"",第二週!$AG$34),IF(OR(第二週!$AG$35=0,IFERROR(FIND("素-",第二週!$AG$35),0)=1),"",","),IF(IFERROR(FIND("素-",第二週!$AG$35),0)=1,"",第二週!$AG$35),IF(OR(第二週!$AG$36=0,IFERROR(FIND("素-",第二週!$AG$36),0)=1),"",","),IF(IFERROR(FIND("素-",第二週!$AG$36),0)=1,"",第二週!$AG$36),IF(OR(第二週!$AG$37=0,IFERROR(FIND("素-",第二週!$AG$37),0)=1),"",","),IF(IFERROR(FIND("素-",第二週!$AG$37),0)=1,"",第二週!$AG$37),IF(OR(第二週!$AG$38=0,IFERROR(FIND("素-",第二週!$AG$38),0)=1),"",","),IF(IFERROR(FIND("素-",第二週!$AG$38),0)=1,"",第二週!$AG$38),IF(OR(第二週!$AG$39=0,IFERROR(FIND("素-",第二週!$AG$39),0)=1),"",","),IF(IFERROR(FIND("素-",第二週!$AG$39),0)=1,"",第二週!$AG$39),IF(OR(第二週!$AG$40=0,IFERROR(FIND("素-",第二週!$AG$40),0)=1),"",","),IF(IFERROR(FIND("素-",第二週!$AG$40),0)=1,"",第二週!$AG$40),IF(OR(第二週!$AG$41=0,IFERROR(FIND("素-",第二週!$AG$41),0)=1),"",","),IF(IFERROR(FIND("素-",第二週!$AG$41),0)=1,"",第二週!$AG$41),IF(OR(第二週!$AG$42=0,IFERROR(FIND("素-",第二週!$AG$42),0)=1),"",","),IF(IFERROR(FIND("素-",第二週!$AG$42),0)=1,"",第二週!$AG$42))</f>
        <v/>
      </c>
      <c r="E30" s="21" t="str">
        <f>_xlfn.CONCAT(IF(IFERROR(FIND("素-",第二週!$AG$49),0)=1,"",第二週!$AG$49),IF(OR(第二週!$AG$50=0,IFERROR(FIND("素-",第二週!$AG$50),0)=1),"",","),IF(IFERROR(FIND("素-",第二週!$AG$50),0)=1,"",第二週!$AG$50),IF(OR(第二週!$AG$51=0,IFERROR(FIND("素-",第二週!$AG$51),0)=1),"",","),IF(IFERROR(FIND("素-",第二週!$AG$51),0)=1,"",第二週!$AG$51),IF(OR(第二週!$AG$52=0,IFERROR(FIND("素-",第二週!$AG$52),0)=1),"",","),IF(IFERROR(FIND("素-",第二週!$AG$52),0)=1,"",第二週!$AG$52),IF(OR(第二週!$AG$53=0,IFERROR(FIND("素-",第二週!$AG$53),0)=1),"",","),IF(IFERROR(FIND("素-",第二週!$AG$53),0)=1,"",第二週!$AG$53),IF(OR(第二週!$AG$54=0,IFERROR(FIND("素-",第二週!$AG$54),0)=1),"",","),IF(IFERROR(FIND("素-",第二週!$AG$54),0)=1,"",第二週!$AG$54),IF(OR(第二週!$AG$55=0,IFERROR(FIND("素-",第二週!$AG$55),0)=1),"",","),IF(IFERROR(FIND("素-",第二週!$AG$55),0)=1,"",第二週!$AG$55))</f>
        <v/>
      </c>
      <c r="F30" s="21" t="str">
        <f>_xlfn.CONCAT(IF(IFERROR(FIND("素-",第二週!$AG$94),0)=1,"",第二週!$AG$94),IF(OR(第二週!$AG$95=0,IFERROR(FIND("素-",第二週!$AG$95),0)=1),"",","),IF(IFERROR(FIND("素-",第二週!$AG$95),0)=1,"",第二週!$AG$95),IF(OR(第二週!$AG$96=0,IFERROR(FIND("素-",第二週!$AG$96),0)=1),"",","),IF(IFERROR(FIND("素-",第二週!$AG$96),0)=1,"",第二週!$AG$96),IF(OR(第二週!$AG$97=0,IFERROR(FIND("素-",第二週!$AG$97),0)=1),"",","),IF(IFERROR(FIND("素-",第二週!$AG$97),0)=1,"",第二週!$AG$97),IF(OR(第二週!$AG$98=0,IFERROR(FIND("素-",第二週!$AG$98),0)=1),"",","),IF(IFERROR(FIND("素-",第二週!$AG$98),0)=1,"",第二週!$AG$98),IF(OR(第二週!$AG$99=0,IFERROR(FIND("素-",第二週!$AG$99),0)=1),"",","),IF(IFERROR(FIND("素-",第二週!$AG$99),0)=1,"",第二週!$AG$99),IF(OR(第二週!$AG$100=0,IFERROR(FIND("素-",第二週!$AG$100),0)=1),"",","),IF(IFERROR(FIND("素-",第二週!$AG$100),0)=1,"",第二週!$AG$100))</f>
        <v/>
      </c>
      <c r="G30" s="21" t="str">
        <f>_xlfn.CONCAT(IF(IFERROR(FIND("素-",第二週!$AG$109),0)=1,"",第二週!$AG$109),IF(OR(第二週!$AG$110=0,IFERROR(FIND("素-",第二週!$AG$110),0)=1),"",","),IF(IFERROR(FIND("素-",第二週!$AG$110),0)=1,"",第二週!$AG$110),IF(OR(第二週!$AG$111=0,IFERROR(FIND("素-",第二週!$AG$111),0)=1),"",","),IF(IFERROR(FIND("素-",第二週!$AG$111),0)=1,"",第二週!$AG$111),IF(OR(第二週!$AG$112=0,IFERROR(FIND("素-",第二週!$AG$112),0)=1),"",","),IF(IFERROR(FIND("素-",第二週!$AG$112),0)=1,"",第二週!$AG$112),IF(OR(第二週!$AG$113=0,IFERROR(FIND("素-",第二週!$AG$113),0)=1),"",","),IF(IFERROR(FIND("素-",第二週!$AG$113),0)=1,"",第二週!$AG$113),IF(OR(第二週!$AG$114=0,IFERROR(FIND("素-",第二週!$AG$114),0)=1),"",","),IF(IFERROR(FIND("素-",第二週!$AG$114),0)=1,"",第二週!$AG$114),IF(OR(第二週!$AG$115=0,IFERROR(FIND("素-",第二週!$AG$115),0)=1),"",","),IF(IFERROR(FIND("素-",第二週!$AG$115),0)=1,"",第二週!$AG$115))</f>
        <v/>
      </c>
      <c r="H30" s="21" t="str">
        <f>_xlfn.CONCAT(IF(IFERROR(FIND("素-",第二週!$AG$199),0)=1,"",第二週!$AG$199),IF(OR(第二週!$AG$200=0,IFERROR(FIND("素-",第二週!$AG$200),0)=1),"",","),IF(IFERROR(FIND("素-",第二週!$AG$200),0)=1,"",第二週!$AG$200),IF(OR(第二週!$AG$201=0,IFERROR(FIND("素-",第二週!$AG$201),0)=1),"",","),IF(IFERROR(FIND("素-",第二週!$AG$201),0)=1,"",第二週!$AG$201),IF(OR(第二週!$AG$202=0,IFERROR(FIND("素-",第二週!$AG$202),0)=1),"",","),IF(IFERROR(FIND("素-",第二週!$AG$202),0)=1,"",第二週!$AG$202),IF(OR(第二週!$AG$203=0,IFERROR(FIND("素-",第二週!$AG$203),0)=1),"",","),IF(IFERROR(FIND("素-",第二週!$AG$203),0)=1,"",第二週!$AG$203),IF(OR(第二週!$AG$204=0,IFERROR(FIND("素-",第二週!$AG$204),0)=1),"",","),IF(IFERROR(FIND("素-",第二週!$AG$204),0)=1,"",第二週!$AG$204),IF(OR(第二週!$AG$205=0,IFERROR(FIND("素-",第二週!$AG$205),0)=1),"",","),IF(IFERROR(FIND("素-",第二週!$AG$205),0)=1,"",第二週!$AG$205),IF(OR(第二週!$AG$206=0,IFERROR(FIND("素-",第二週!$AG$206),0)=1),"",","),IF(IFERROR(FIND("素-",第二週!$AG$206),0)=1,"",第二週!$AG$206))</f>
        <v/>
      </c>
      <c r="I30" s="474"/>
      <c r="J30" s="482"/>
      <c r="K30" s="482"/>
    </row>
    <row r="31" spans="1:11" ht="49.9" hidden="1" customHeight="1">
      <c r="A31" s="475"/>
      <c r="B31" s="477" t="s">
        <v>39</v>
      </c>
      <c r="C31" s="479"/>
      <c r="D31" s="81"/>
      <c r="E31" s="81"/>
      <c r="F31" s="81"/>
      <c r="G31" s="81"/>
      <c r="H31" s="81"/>
      <c r="I31" s="473"/>
      <c r="J31" s="481"/>
      <c r="K31" s="481"/>
    </row>
    <row r="32" spans="1:11" s="22" customFormat="1" ht="25.15" hidden="1" customHeight="1">
      <c r="A32" s="476"/>
      <c r="B32" s="478"/>
      <c r="C32" s="480"/>
      <c r="D32" s="21"/>
      <c r="E32" s="21"/>
      <c r="F32" s="21"/>
      <c r="G32" s="21"/>
      <c r="H32" s="21"/>
      <c r="I32" s="474"/>
      <c r="J32" s="482"/>
      <c r="K32" s="482"/>
    </row>
    <row r="33" spans="1:11" ht="49.9" customHeight="1">
      <c r="A33" s="475">
        <f>IF(第三週!$G$2=0,"",第三週!$G$2)</f>
        <v>45460</v>
      </c>
      <c r="B33" s="477" t="s">
        <v>22</v>
      </c>
      <c r="C33" s="479" t="str">
        <f>IF(第三週!$G$4=0,"",第三週!$G$4)</f>
        <v>白飯</v>
      </c>
      <c r="D33" s="81" t="str">
        <f>IF(第三週!$G$34=0,"",第三週!$G$34)</f>
        <v>油腐滷肉</v>
      </c>
      <c r="E33" s="81" t="str">
        <f>IF(第三週!$G$49=0,"",第三週!$G$49)</f>
        <v/>
      </c>
      <c r="F33" s="82" t="str">
        <f>IF(第三週!$G$94=0,"",第三週!$G$94)</f>
        <v>起司焗蔬</v>
      </c>
      <c r="G33" s="82" t="str">
        <f>IF(第三週!$G$109=0,"",第三週!$G$109)</f>
        <v>洋蔥炒蛋</v>
      </c>
      <c r="H33" s="82" t="str">
        <f>IF(第三週!$G$199=0,"",第三週!$G$199)</f>
        <v>鹹湯圓</v>
      </c>
      <c r="I33" s="473" t="str">
        <f>IF(第三週!$G$184=0,"",第三週!$G$184)</f>
        <v>清炒時蔬</v>
      </c>
      <c r="J33" s="481" t="str">
        <f>IF(第三週!$G$214=0,"",第三週!$G$214)</f>
        <v>果汁</v>
      </c>
      <c r="K33" s="481" t="str">
        <f>IF(第三週!$G$234=0,"",第三週!$G$234)</f>
        <v/>
      </c>
    </row>
    <row r="34" spans="1:11" s="22" customFormat="1" ht="25.15" customHeight="1">
      <c r="A34" s="476"/>
      <c r="B34" s="478"/>
      <c r="C34" s="480"/>
      <c r="D34" s="21" t="str">
        <f>_xlfn.CONCAT(IF(IFERROR(FIND("素-",第三週!$H$34),0)=1,"",第三週!$H$34),IF(OR(第三週!$H$35=0,IFERROR(FIND("素-",第三週!$H$35),0)=1),"",","),IF(IFERROR(FIND("素-",第三週!$H$35),0)=1,"",第三週!$H$35),IF(OR(第三週!$H$36=0,IFERROR(FIND("素-",第三週!$H$36),0)=1),"",","),IF(IFERROR(FIND("素-",第三週!$H$36),0)=1,"",第三週!$H$36),IF(OR(第三週!$H$37=0,IFERROR(FIND("素-",第三週!$H$37),0)=1),"",","),IF(IFERROR(FIND("素-",第三週!$H$37),0)=1,"",第三週!$H$37),IF(OR(第三週!$H$38=0,IFERROR(FIND("素-",第三週!$H$38),0)=1),"",","),IF(IFERROR(FIND("素-",第三週!$H$38),0)=1,"",第三週!$H$38),IF(OR(第三週!$H$39=0,IFERROR(FIND("素-",第三週!$H$39),0)=1),"",","),IF(IFERROR(FIND("素-",第三週!$H$39),0)=1,"",第三週!$H$39),IF(OR(第三週!$H$40=0,IFERROR(FIND("素-",第三週!$H$40),0)=1),"",","),IF(IFERROR(FIND("素-",第三週!$H$40),0)=1,"",第三週!$H$40),IF(OR(第三週!$H$41=0,IFERROR(FIND("素-",第三週!$H$41),0)=1),"",","),IF(IFERROR(FIND("素-",第三週!$H$41),0)=1,"",第三週!$H$41),IF(OR(第三週!$H$42=0,IFERROR(FIND("素-",第三週!$H$42),0)=1),"",","),IF(IFERROR(FIND("素-",第三週!$H$42),0)=1,"",第三週!$H$42))</f>
        <v>豬前腿肉,油豆腐</v>
      </c>
      <c r="E34" s="21"/>
      <c r="F34" s="21" t="str">
        <f>_xlfn.CONCAT(IF(IFERROR(FIND("素-",第三週!$H$94),0)=1,"",第三週!$H$94),IF(OR(第三週!$H$95=0,IFERROR(FIND("素-",第三週!$H$95),0)=1),"",","),IF(IFERROR(FIND("素-",第三週!$H$95),0)=1,"",第三週!$H$95),IF(OR(第三週!$H$96=0,IFERROR(FIND("素-",第三週!$H$96),0)=1),"",","),IF(IFERROR(FIND("素-",第三週!$H$96),0)=1,"",第三週!$H$96),IF(OR(第三週!$H$97=0,IFERROR(FIND("素-",第三週!$H$97),0)=1),"",","),IF(IFERROR(FIND("素-",第三週!$H$97),0)=1,"",第三週!$H$97),IF(OR(第三週!$H$98=0,IFERROR(FIND("素-",第三週!$H$98),0)=1),"",","),IF(IFERROR(FIND("素-",第三週!$H$98),0)=1,"",第三週!$H$98),IF(OR(第三週!$H$99=0,IFERROR(FIND("素-",第三週!$H$99),0)=1),"",","),IF(IFERROR(FIND("素-",第三週!$H$99),0)=1,"",第三週!$H$99),IF(OR(第三週!$H$100=0,IFERROR(FIND("素-",第三週!$H$100),0)=1),"",","),IF(IFERROR(FIND("素-",第三週!$H$100),0)=1,"",第三週!$H$100))</f>
        <v>冷凍玉米粒,冷凍洋芋,冷凍胡蘿蔔,乳酪絲,青椒,紅甜椒</v>
      </c>
      <c r="G34" s="21" t="str">
        <f>_xlfn.CONCAT(IF(IFERROR(FIND("素-",第三週!$H$109),0)=1,"",第三週!$H$109),IF(OR(第三週!$H$110=0,IFERROR(FIND("素-",第三週!$H$110),0)=1),"",","),IF(IFERROR(FIND("素-",第三週!$H$110),0)=1,"",第三週!$H$110),IF(OR(第三週!$H$111=0,IFERROR(FIND("素-",第三週!$H$111),0)=1),"",","),IF(IFERROR(FIND("素-",第三週!$H$111),0)=1,"",第三週!$H$111),IF(OR(第三週!$H$112=0,IFERROR(FIND("素-",第三週!$H$112),0)=1),"",","),IF(IFERROR(FIND("素-",第三週!$H$112),0)=1,"",第三週!$H$112),IF(OR(第三週!$H$113=0,IFERROR(FIND("素-",第三週!$H$113),0)=1),"",","),IF(IFERROR(FIND("素-",第三週!$H$113),0)=1,"",第三週!$H$113),IF(OR(第三週!$H$114=0,IFERROR(FIND("素-",第三週!$H$114),0)=1),"",","),IF(IFERROR(FIND("素-",第三週!$H$114),0)=1,"",第三週!$H$114),IF(OR(第三週!$H$115=0,IFERROR(FIND("素-",第三週!$H$115),0)=1),"",","),IF(IFERROR(FIND("素-",第三週!$H$115),0)=1,"",第三週!$H$115))</f>
        <v>洋蔥,雞蛋</v>
      </c>
      <c r="H34" s="21" t="str">
        <f>_xlfn.CONCAT(IF(IFERROR(FIND("素-",第三週!$H$199),0)=1,"",第三週!$H$199),IF(OR(第三週!$H$200=0,IFERROR(FIND("素-",第三週!$H$200),0)=1),"",","),IF(IFERROR(FIND("素-",第三週!$H$200),0)=1,"",第三週!$H$200),IF(OR(第三週!$H$201=0,IFERROR(FIND("素-",第三週!$H$201),0)=1),"",","),IF(IFERROR(FIND("素-",第三週!$H$201),0)=1,"",第三週!$H$201),IF(OR(第三週!$H$202=0,IFERROR(FIND("素-",第三週!$H$202),0)=1),"",","),IF(IFERROR(FIND("素-",第三週!$H$202),0)=1,"",第三週!$H$202),IF(OR(第三週!$H$203=0,IFERROR(FIND("素-",第三週!$H$203),0)=1),"",","),IF(IFERROR(FIND("素-",第三週!$H$203),0)=1,"",第三週!$H$203),IF(OR(第三週!$H$204=0,IFERROR(FIND("素-",第三週!$H$204),0)=1),"",","),IF(IFERROR(FIND("素-",第三週!$H$204),0)=1,"",第三週!$H$204),IF(OR(第三週!$H$205=0,IFERROR(FIND("素-",第三週!$H$205),0)=1),"",","),IF(IFERROR(FIND("素-",第三週!$H$205),0)=1,"",第三週!$H$205),IF(OR(第三週!$H$206=0,IFERROR(FIND("素-",第三週!$H$206),0)=1),"",","),IF(IFERROR(FIND("素-",第三週!$H$206),0)=1,"",第三週!$H$206))</f>
        <v>豬前腿肉,小湯圓,油蔥酥,乾香菇絲,雞蛋,蝦米,芹菜</v>
      </c>
      <c r="I34" s="474"/>
      <c r="J34" s="482"/>
      <c r="K34" s="482"/>
    </row>
    <row r="35" spans="1:11" ht="49.9" customHeight="1">
      <c r="A35" s="475">
        <f>IF(第三週!$L$2=0,"",第三週!$L$2)</f>
        <v>45461</v>
      </c>
      <c r="B35" s="477" t="s">
        <v>23</v>
      </c>
      <c r="C35" s="479" t="str">
        <f>IF(第三週!$L$4=0,"",第三週!$L$4)</f>
        <v>白飯</v>
      </c>
      <c r="D35" s="81" t="str">
        <f>IF(第三週!$L$34=0,"",第三週!$L$34)</f>
        <v>茄汁雞丁</v>
      </c>
      <c r="E35" s="81" t="str">
        <f>IF(第三週!$L$49=0,"",第三週!$L$49)</f>
        <v/>
      </c>
      <c r="F35" s="82" t="str">
        <f>IF(第三週!$L$94=0,"",第三週!$L$94)</f>
        <v>芹香素雞</v>
      </c>
      <c r="G35" s="82" t="str">
        <f>IF(第三週!$L$109=0,"",第三週!$L$109)</f>
        <v>角螺白菜</v>
      </c>
      <c r="H35" s="82" t="str">
        <f>IF(第三週!$L$199=0,"",第三週!$L$199)</f>
        <v>玉米豆腐湯</v>
      </c>
      <c r="I35" s="473" t="str">
        <f>IF(第三週!$L$184=0,"",第三週!$L$184)</f>
        <v>清炒時蔬</v>
      </c>
      <c r="J35" s="481" t="str">
        <f>IF(第三週!$L$214=0,"",第三週!$L$214)</f>
        <v>牛奶</v>
      </c>
      <c r="K35" s="481" t="str">
        <f>IF(第三週!$L$234=0,"",第三週!$L$234)</f>
        <v/>
      </c>
    </row>
    <row r="36" spans="1:11" s="22" customFormat="1" ht="25.15" customHeight="1">
      <c r="A36" s="476"/>
      <c r="B36" s="478"/>
      <c r="C36" s="480"/>
      <c r="D36" s="21" t="str">
        <f>_xlfn.CONCAT(IF(IFERROR(FIND("素-",第三週!$M$34),0)=1,"",第三週!$M$34),IF(OR(第三週!$M$35=0,IFERROR(FIND("素-",第三週!$M$35),0)=1),"",","),IF(IFERROR(FIND("素-",第三週!$M$35),0)=1,"",第三週!$M$35),IF(OR(第三週!$M$36=0,IFERROR(FIND("素-",第三週!$M$36),0)=1),"",","),IF(IFERROR(FIND("素-",第三週!$M$36),0)=1,"",第三週!$M$36),IF(OR(第三週!$M$37=0,IFERROR(FIND("素-",第三週!$M$37),0)=1),"",","),IF(IFERROR(FIND("素-",第三週!$M$37),0)=1,"",第三週!$M$37),IF(OR(第三週!$M$38=0,IFERROR(FIND("素-",第三週!$M$38),0)=1),"",","),IF(IFERROR(FIND("素-",第三週!$M$38),0)=1,"",第三週!$M$38),IF(OR(第三週!$M$39=0,IFERROR(FIND("素-",第三週!$M$39),0)=1),"",","),IF(IFERROR(FIND("素-",第三週!$M$39),0)=1,"",第三週!$M$39),IF(OR(第三週!$M$40=0,IFERROR(FIND("素-",第三週!$M$40),0)=1),"",","),IF(IFERROR(FIND("素-",第三週!$M$40),0)=1,"",第三週!$M$40),IF(OR(第三週!$M$41=0,IFERROR(FIND("素-",第三週!$M$41),0)=1),"",","),IF(IFERROR(FIND("素-",第三週!$M$41),0)=1,"",第三週!$M$41),IF(OR(第三週!$M$42=0,IFERROR(FIND("素-",第三週!$M$42),0)=1),"",","),IF(IFERROR(FIND("素-",第三週!$M$42),0)=1,"",第三週!$M$42))</f>
        <v>骨腿,雞清胸肉,番茄,凍豆腐,番茄醬</v>
      </c>
      <c r="E36" s="21" t="str">
        <f>_xlfn.CONCAT(IF(IFERROR(FIND("素-",第三週!$M$49),0)=1,"",第三週!$M$49),IF(OR(第三週!$M$50=0,IFERROR(FIND("素-",第三週!$M$50),0)=1),"",","),IF(IFERROR(FIND("素-",第三週!$M$50),0)=1,"",第三週!$M$50),IF(OR(第三週!$M$51=0,IFERROR(FIND("素-",第三週!$M$51),0)=1),"",","),IF(IFERROR(FIND("素-",第三週!$M$51),0)=1,"",第三週!$M$51),IF(OR(第三週!$M$52=0,IFERROR(FIND("素-",第三週!$M$52),0)=1),"",","),IF(IFERROR(FIND("素-",第三週!$M$52),0)=1,"",第三週!$M$52),IF(OR(第三週!$M$53=0,IFERROR(FIND("素-",第三週!$M$53),0)=1),"",","),IF(IFERROR(FIND("素-",第三週!$M$53),0)=1,"",第三週!$M$53),IF(OR(第三週!$M$54=0,IFERROR(FIND("素-",第三週!$M$54),0)=1),"",","),IF(IFERROR(FIND("素-",第三週!$M$54),0)=1,"",第三週!$M$54),IF(OR(第三週!$M$55=0,IFERROR(FIND("素-",第三週!$M$55),0)=1),"",","),IF(IFERROR(FIND("素-",第三週!$M$55),0)=1,"",第三週!$M$55))</f>
        <v/>
      </c>
      <c r="F36" s="23" t="str">
        <f>_xlfn.CONCAT(IF(IFERROR(FIND("素-",第三週!$M$94),0)=1,"",第三週!$M$94),IF(OR(第三週!$M$95=0,IFERROR(FIND("素-",第三週!$M$95),0)=1),"",","),IF(IFERROR(FIND("素-",第三週!$M$95),0)=1,"",第三週!$M$95),IF(OR(第三週!$M$96=0,IFERROR(FIND("素-",第三週!$M$96),0)=1),"",","),IF(IFERROR(FIND("素-",第三週!$M$96),0)=1,"",第三週!$M$96),IF(OR(第三週!$M$97=0,IFERROR(FIND("素-",第三週!$M$97),0)=1),"",","),IF(IFERROR(FIND("素-",第三週!$M$97),0)=1,"",第三週!$M$97),IF(OR(第三週!$M$98=0,IFERROR(FIND("素-",第三週!$M$98),0)=1),"",","),IF(IFERROR(FIND("素-",第三週!$M$98),0)=1,"",第三週!$M$98),IF(OR(第三週!$M$99=0,IFERROR(FIND("素-",第三週!$M$99),0)=1),"",","),IF(IFERROR(FIND("素-",第三週!$M$99),0)=1,"",第三週!$M$99),IF(OR(第三週!$M$100=0,IFERROR(FIND("素-",第三週!$M$100),0)=1),"",","),IF(IFERROR(FIND("素-",第三週!$M$100),0)=1,"",第三週!$M$100))</f>
        <v>西洋芹,素雞,胡蘿蔔</v>
      </c>
      <c r="G36" s="21" t="str">
        <f>_xlfn.CONCAT(IF(IFERROR(FIND("素-",第三週!$M$109),0)=1,"",第三週!$M$109),IF(OR(第三週!$M$110=0,IFERROR(FIND("素-",第三週!$M$110),0)=1),"",","),IF(IFERROR(FIND("素-",第三週!$M$110),0)=1,"",第三週!$M$110),IF(OR(第三週!$M$111=0,IFERROR(FIND("素-",第三週!$M$111),0)=1),"",","),IF(IFERROR(FIND("素-",第三週!$M$111),0)=1,"",第三週!$M$111),IF(OR(第三週!$M$112=0,IFERROR(FIND("素-",第三週!$M$112),0)=1),"",","),IF(IFERROR(FIND("素-",第三週!$M$112),0)=1,"",第三週!$M$112),IF(OR(第三週!$M$113=0,IFERROR(FIND("素-",第三週!$M$113),0)=1),"",","),IF(IFERROR(FIND("素-",第三週!$M$113),0)=1,"",第三週!$M$113),IF(OR(第三週!$M$114=0,IFERROR(FIND("素-",第三週!$M$114),0)=1),"",","),IF(IFERROR(FIND("素-",第三週!$M$114),0)=1,"",第三週!$M$114),IF(OR(第三週!$M$115=0,IFERROR(FIND("素-",第三週!$M$115),0)=1),"",","),IF(IFERROR(FIND("素-",第三週!$M$115),0)=1,"",第三週!$M$115))</f>
        <v>大白菜,角螺,胡蘿蔔</v>
      </c>
      <c r="H36" s="21" t="str">
        <f>_xlfn.CONCAT(IF(IFERROR(FIND("素-",第三週!$M$199),0)=1,"",第三週!$M$199),IF(OR(第三週!$M$200=0,IFERROR(FIND("素-",第三週!$M$200),0)=1),"",","),IF(IFERROR(FIND("素-",第三週!$M$200),0)=1,"",第三週!$M$200),IF(OR(第三週!$M$201=0,IFERROR(FIND("素-",第三週!$M$201),0)=1),"",","),IF(IFERROR(FIND("素-",第三週!$M$201),0)=1,"",第三週!$M$201),IF(OR(第三週!$M$202=0,IFERROR(FIND("素-",第三週!$M$202),0)=1),"",","),IF(IFERROR(FIND("素-",第三週!$M$202),0)=1,"",第三週!$M$202),IF(OR(第三週!$M$203=0,IFERROR(FIND("素-",第三週!$M$203),0)=1),"",","),IF(IFERROR(FIND("素-",第三週!$M$203),0)=1,"",第三週!$M$203),IF(OR(第三週!$M$204=0,IFERROR(FIND("素-",第三週!$M$204),0)=1),"",","),IF(IFERROR(FIND("素-",第三週!$M$204),0)=1,"",第三週!$M$204),IF(OR(第三週!$M$205=0,IFERROR(FIND("素-",第三週!$M$205),0)=1),"",","),IF(IFERROR(FIND("素-",第三週!$M$205),0)=1,"",第三週!$M$205),IF(OR(第三週!$M$206=0,IFERROR(FIND("素-",第三週!$M$206),0)=1),"",","),IF(IFERROR(FIND("素-",第三週!$M$206),0)=1,"",第三週!$M$206))</f>
        <v>冷凍玉米粒,板豆腐,中排</v>
      </c>
      <c r="I36" s="474"/>
      <c r="J36" s="482"/>
      <c r="K36" s="482"/>
    </row>
    <row r="37" spans="1:11" ht="49.9" customHeight="1">
      <c r="A37" s="475">
        <f>IF(第三週!$Q$2=0,"",第三週!$Q$2)</f>
        <v>45462</v>
      </c>
      <c r="B37" s="477" t="s">
        <v>24</v>
      </c>
      <c r="C37" s="479" t="str">
        <f>IF(第三週!$Q$4=0,"",第三週!$Q$4)</f>
        <v>黃油麵</v>
      </c>
      <c r="D37" s="81" t="str">
        <f>IF(第三週!$Q$34=0,"",第三週!$Q$34)</f>
        <v>豬肉秀菇燴麵</v>
      </c>
      <c r="E37" s="81" t="str">
        <f>IF(第三週!$Q$49=0,"",第三週!$Q$49)</f>
        <v>芝麻包</v>
      </c>
      <c r="F37" s="82" t="str">
        <f>IF(第三週!$Q$94=0,"",第三週!$Q$94)</f>
        <v/>
      </c>
      <c r="G37" s="82" t="str">
        <f>IF(第三週!$Q$109=0,"",第三週!$Q$109)</f>
        <v>杏鮑菇洋芋</v>
      </c>
      <c r="H37" s="82" t="str">
        <f>IF(第三週!$Q$199=0,"",第三週!$Q$199)</f>
        <v>Q圓芋頭湯</v>
      </c>
      <c r="I37" s="473" t="str">
        <f>IF(第三週!$Q$184=0,"",第三週!$Q$184)</f>
        <v>清炒時蔬</v>
      </c>
      <c r="J37" s="481" t="str">
        <f>IF(第三週!$Q$214=0,"",第三週!$Q$214)</f>
        <v>水果</v>
      </c>
      <c r="K37" s="481" t="str">
        <f>IF(第三週!$Q$219=0,"",第三週!$Q$219)</f>
        <v/>
      </c>
    </row>
    <row r="38" spans="1:11" s="22" customFormat="1" ht="25.15" customHeight="1">
      <c r="A38" s="476"/>
      <c r="B38" s="478"/>
      <c r="C38" s="480"/>
      <c r="D38" s="21" t="str">
        <f>_xlfn.CONCAT(IF(IFERROR(FIND("素-",第三週!$R$34),0)=1,"",第三週!$R$34),IF(OR(第三週!$R$35=0,IFERROR(FIND("素-",第三週!$R$35),0)=1),"",","),IF(IFERROR(FIND("素-",第三週!$R$35),0)=1,"",第三週!$R$35),IF(OR(第三週!$R$36=0,IFERROR(FIND("素-",第三週!$R$36),0)=1),"",","),IF(IFERROR(FIND("素-",第三週!$R$36),0)=1,"",第三週!$R$36),IF(OR(第三週!$R$37=0,IFERROR(FIND("素-",第三週!$R$37),0)=1),"",","),IF(IFERROR(FIND("素-",第三週!$R$37),0)=1,"",第三週!$R$37),IF(OR(第三週!$R$38=0,IFERROR(FIND("素-",第三週!$R$38),0)=1),"",","),IF(IFERROR(FIND("素-",第三週!$R$38),0)=1,"",第三週!$R$38),IF(OR(第三週!$R$39=0,IFERROR(FIND("素-",第三週!$R$39),0)=1),"",","),IF(IFERROR(FIND("素-",第三週!$R$39),0)=1,"",第三週!$R$39),IF(OR(第三週!$R$40=0,IFERROR(FIND("素-",第三週!$R$40),0)=1),"",","),IF(IFERROR(FIND("素-",第三週!$R$40),0)=1,"",第三週!$R$40),IF(OR(第三週!$R$41=0,IFERROR(FIND("素-",第三週!$R$41),0)=1),"",","),IF(IFERROR(FIND("素-",第三週!$R$41),0)=1,"",第三週!$R$41),IF(OR(第三週!$R$42=0,IFERROR(FIND("素-",第三週!$R$42),0)=1),"",","),IF(IFERROR(FIND("素-",第三週!$R$42),0)=1,"",第三週!$R$42))</f>
        <v>豬前腿肉,秀珍菇,洋蔥,冷凍玉米粒,胡蘿蔔,高麗菜</v>
      </c>
      <c r="E38" s="21" t="str">
        <f>_xlfn.CONCAT(IF(IFERROR(FIND("素-",第三週!$R$49),0)=1,"",第三週!$R$49),IF(OR(第三週!$R$50=0,IFERROR(FIND("素-",第三週!$R$50),0)=1),"",","),IF(IFERROR(FIND("素-",第三週!$R$50),0)=1,"",第三週!$R$50),IF(OR(第三週!$R$51=0,IFERROR(FIND("素-",第三週!$R$51),0)=1),"",","),IF(IFERROR(FIND("素-",第三週!$R$51),0)=1,"",第三週!$R$51),IF(OR(第三週!$R$52=0,IFERROR(FIND("素-",第三週!$R$52),0)=1),"",","),IF(IFERROR(FIND("素-",第三週!$R$52),0)=1,"",第三週!$R$52),IF(OR(第三週!$R$53=0,IFERROR(FIND("素-",第三週!$R$53),0)=1),"",","),IF(IFERROR(FIND("素-",第三週!$R$53),0)=1,"",第三週!$R$53),IF(OR(第三週!$R$54=0,IFERROR(FIND("素-",第三週!$R$54),0)=1),"",","),IF(IFERROR(FIND("素-",第三週!$R$54),0)=1,"",第三週!$R$54),IF(OR(第三週!$R$55=0,IFERROR(FIND("素-",第三週!$R$55),0)=1),"",","),IF(IFERROR(FIND("素-",第三週!$R$55),0)=1,"",第三週!$R$55))</f>
        <v>芝麻包</v>
      </c>
      <c r="F38" s="21" t="str">
        <f>_xlfn.CONCAT(IF(IFERROR(FIND("素-",第三週!$R$94),0)=1,"",第三週!$R$94),IF(OR(第三週!$R$95=0,IFERROR(FIND("素-",第三週!$R$95),0)=1),"",","),IF(IFERROR(FIND("素-",第三週!$R$95),0)=1,"",第三週!$R$95),IF(OR(第三週!$R$96=0,IFERROR(FIND("素-",第三週!$R$96),0)=1),"",","),IF(IFERROR(FIND("素-",第三週!$R$96),0)=1,"",第三週!$R$96),IF(OR(第三週!$R$97=0,IFERROR(FIND("素-",第三週!$R$97),0)=1),"",","),IF(IFERROR(FIND("素-",第三週!$R$97),0)=1,"",第三週!$R$97),IF(OR(第三週!$R$98=0,IFERROR(FIND("素-",第三週!$R$98),0)=1),"",","),IF(IFERROR(FIND("素-",第三週!$R$98),0)=1,"",第三週!$R$98),IF(OR(第三週!$R$99=0,IFERROR(FIND("素-",第三週!$R$99),0)=1),"",","),IF(IFERROR(FIND("素-",第三週!$R$99),0)=1,"",第三週!$R$99),IF(OR(第三週!$R$100=0,IFERROR(FIND("素-",第三週!$R$100),0)=1),"",","),IF(IFERROR(FIND("素-",第三週!$R$100),0)=1,"",第三週!$R$100))</f>
        <v>港西畢業生最後用餐日(-13)</v>
      </c>
      <c r="G38" s="21" t="str">
        <f>_xlfn.CONCAT(IF(IFERROR(FIND("素-",第三週!$R$109),0)=1,"",第三週!$R$109),IF(OR(第三週!$R$110=0,IFERROR(FIND("素-",第三週!$R$110),0)=1),"",","),IF(IFERROR(FIND("素-",第三週!$R$110),0)=1,"",第三週!$R$110),IF(OR(第三週!$R$111=0,IFERROR(FIND("素-",第三週!$R$111),0)=1),"",","),IF(IFERROR(FIND("素-",第三週!$R$111),0)=1,"",第三週!$R$111),IF(OR(第三週!$R$112=0,IFERROR(FIND("素-",第三週!$R$112),0)=1),"",","),IF(IFERROR(FIND("素-",第三週!$R$112),0)=1,"",第三週!$R$112),IF(OR(第三週!$R$113=0,IFERROR(FIND("素-",第三週!$R$113),0)=1),"",","),IF(IFERROR(FIND("素-",第三週!$R$113),0)=1,"",第三週!$R$113),IF(OR(第三週!$R$114=0,IFERROR(FIND("素-",第三週!$R$114),0)=1),"",","),IF(IFERROR(FIND("素-",第三週!$R$114),0)=1,"",第三週!$R$114),IF(OR(第三週!$R$115=0,IFERROR(FIND("素-",第三週!$R$115),0)=1),"",","),IF(IFERROR(FIND("素-",第三週!$R$115),0)=1,"",第三週!$R$115))</f>
        <v>洋芋,杏鮑菇,胡蘿蔔,冷凍玉米粒</v>
      </c>
      <c r="H38" s="21" t="str">
        <f>_xlfn.CONCAT(IF(IFERROR(FIND("素-",第三週!$R$199),0)=1,"",第三週!$R$199),IF(OR(第三週!$R$200=0,IFERROR(FIND("素-",第三週!$R$200),0)=1),"",","),IF(IFERROR(FIND("素-",第三週!$R$200),0)=1,"",第三週!$R$200),IF(OR(第三週!$R$201=0,IFERROR(FIND("素-",第三週!$R$201),0)=1),"",","),IF(IFERROR(FIND("素-",第三週!$R$201),0)=1,"",第三週!$R$201),IF(OR(第三週!$R$202=0,IFERROR(FIND("素-",第三週!$R$202),0)=1),"",","),IF(IFERROR(FIND("素-",第三週!$R$202),0)=1,"",第三週!$R$202),IF(OR(第三週!$R$203=0,IFERROR(FIND("素-",第三週!$R$203),0)=1),"",","),IF(IFERROR(FIND("素-",第三週!$R$203),0)=1,"",第三週!$R$203),IF(OR(第三週!$R$204=0,IFERROR(FIND("素-",第三週!$R$204),0)=1),"",","),IF(IFERROR(FIND("素-",第三週!$R$204),0)=1,"",第三週!$R$204),IF(OR(第三週!$R$205=0,IFERROR(FIND("素-",第三週!$R$205),0)=1),"",","),IF(IFERROR(FIND("素-",第三週!$R$205),0)=1,"",第三週!$R$205),IF(OR(第三週!$R$206=0,IFERROR(FIND("素-",第三週!$R$206),0)=1),"",","),IF(IFERROR(FIND("素-",第三週!$R$206),0)=1,"",第三週!$R$206))</f>
        <v>脆圓,冷凍芋頭丁,二砂糖,椰奶</v>
      </c>
      <c r="I38" s="474"/>
      <c r="J38" s="482"/>
      <c r="K38" s="482"/>
    </row>
    <row r="39" spans="1:11" ht="49.9" customHeight="1">
      <c r="A39" s="475">
        <f>IF(第三週!$V$2=0,"",第三週!$V$2)</f>
        <v>45463</v>
      </c>
      <c r="B39" s="477" t="s">
        <v>25</v>
      </c>
      <c r="C39" s="479" t="str">
        <f>IF(第三週!$V$4=0,"",第三週!$V$4)</f>
        <v>地瓜飯</v>
      </c>
      <c r="D39" s="81" t="str">
        <f>IF(第三週!$V$34=0,"",第三週!$V$34)</f>
        <v>腐乳雞</v>
      </c>
      <c r="E39" s="81" t="str">
        <f>IF(第三週!$V$49=0,"",第三週!$V$49)</f>
        <v/>
      </c>
      <c r="F39" s="82" t="str">
        <f>IF(第三週!$V$94=0,"",第三週!$V$94)</f>
        <v>三色滑蛋</v>
      </c>
      <c r="G39" s="82" t="str">
        <f>IF(第三週!$V$109=0,"",第三週!$V$109)</f>
        <v>螞蟻上樹</v>
      </c>
      <c r="H39" s="82" t="str">
        <f>IF(第三週!$V$199=0,"",第三週!$V$199)</f>
        <v>海帶蛋花湯</v>
      </c>
      <c r="I39" s="473" t="str">
        <f>IF(第三週!$V$184=0,"",第三週!$V$184)</f>
        <v>清炒時蔬</v>
      </c>
      <c r="J39" s="481" t="str">
        <f>IF(第三週!$V$214=0,"",第三週!$V$214)</f>
        <v>牛奶</v>
      </c>
      <c r="K39" s="481" t="str">
        <f>IF(第三週!$V$234=0,"",第三週!$V$234)</f>
        <v/>
      </c>
    </row>
    <row r="40" spans="1:11" s="22" customFormat="1" ht="25.15" customHeight="1">
      <c r="A40" s="476"/>
      <c r="B40" s="478"/>
      <c r="C40" s="480"/>
      <c r="D40" s="21" t="str">
        <f>_xlfn.CONCAT(IF(IFERROR(FIND("素-",第三週!$W$34),0)=1,"",第三週!$W$34),IF(OR(第三週!$W$35=0,IFERROR(FIND("素-",第三週!$W$35),0)=1),"",","),IF(IFERROR(FIND("素-",第三週!$W$35),0)=1,"",第三週!$W$35),IF(OR(第三週!$W$36=0,IFERROR(FIND("素-",第三週!$W$36),0)=1),"",","),IF(IFERROR(FIND("素-",第三週!$W$36),0)=1,"",第三週!$W$36),IF(OR(第三週!$W$37=0,IFERROR(FIND("素-",第三週!$W$37),0)=1),"",","),IF(IFERROR(FIND("素-",第三週!$W$37),0)=1,"",第三週!$W$37),IF(OR(第三週!$W$38=0,IFERROR(FIND("素-",第三週!$W$38),0)=1),"",","),IF(IFERROR(FIND("素-",第三週!$W$38),0)=1,"",第三週!$W$38),IF(OR(第三週!$W$39=0,IFERROR(FIND("素-",第三週!$W$39),0)=1),"",","),IF(IFERROR(FIND("素-",第三週!$W$39),0)=1,"",第三週!$W$39),IF(OR(第三週!$W$40=0,IFERROR(FIND("素-",第三週!$W$40),0)=1),"",","),IF(IFERROR(FIND("素-",第三週!$W$40),0)=1,"",第三週!$W$40),IF(OR(第三週!$W$41=0,IFERROR(FIND("素-",第三週!$W$41),0)=1),"",","),IF(IFERROR(FIND("素-",第三週!$W$41),0)=1,"",第三週!$W$41),IF(OR(第三週!$W$42=0,IFERROR(FIND("素-",第三週!$W$42),0)=1),"",","),IF(IFERROR(FIND("素-",第三週!$W$42),0)=1,"",第三週!$W$42))</f>
        <v>骨腿,雞清胸肉,洋芋,豆腐乳</v>
      </c>
      <c r="E40" s="21" t="str">
        <f>_xlfn.CONCAT(IF(IFERROR(FIND("素-",第三週!$W$49),0)=1,"",第三週!$W$49),IF(OR(第三週!$W$50=0,IFERROR(FIND("素-",第三週!$W$50),0)=1),"",","),IF(IFERROR(FIND("素-",第三週!$W$50),0)=1,"",第三週!$W$50),IF(OR(第三週!$W$51=0,IFERROR(FIND("素-",第三週!$W$51),0)=1),"",","),IF(IFERROR(FIND("素-",第三週!$W$51),0)=1,"",第三週!$W$51),IF(OR(第三週!$W$52=0,IFERROR(FIND("素-",第三週!$W$52),0)=1),"",","),IF(IFERROR(FIND("素-",第三週!$W$52),0)=1,"",第三週!$W$52),IF(OR(第三週!$W$53=0,IFERROR(FIND("素-",第三週!$W$53),0)=1),"",","),IF(IFERROR(FIND("素-",第三週!$W$53),0)=1,"",第三週!$W$53),IF(OR(第三週!$W$54=0,IFERROR(FIND("素-",第三週!$W$54),0)=1),"",","),IF(IFERROR(FIND("素-",第三週!$W$54),0)=1,"",第三週!$W$54),IF(OR(第三週!$W$55=0,IFERROR(FIND("素-",第三週!$W$55),0)=1),"",","),IF(IFERROR(FIND("素-",第三週!$W$55),0)=1,"",第三週!$W$55))</f>
        <v/>
      </c>
      <c r="F40" s="21" t="str">
        <f>_xlfn.CONCAT(IF(IFERROR(FIND("素-",第三週!$W$94),0)=1,"",第三週!$W$94),IF(OR(第三週!$W$95=0,IFERROR(FIND("素-",第三週!$W$95),0)=1),"",","),IF(IFERROR(FIND("素-",第三週!$W$95),0)=1,"",第三週!$W$95),IF(OR(第三週!$W$96=0,IFERROR(FIND("素-",第三週!$W$96),0)=1),"",","),IF(IFERROR(FIND("素-",第三週!$W$96),0)=1,"",第三週!$W$96),IF(OR(第三週!$W$97=0,IFERROR(FIND("素-",第三週!$W$97),0)=1),"",","),IF(IFERROR(FIND("素-",第三週!$W$97),0)=1,"",第三週!$W$97),IF(OR(第三週!$W$98=0,IFERROR(FIND("素-",第三週!$W$98),0)=1),"",","),IF(IFERROR(FIND("素-",第三週!$W$98),0)=1,"",第三週!$W$98),IF(OR(第三週!$W$99=0,IFERROR(FIND("素-",第三週!$W$99),0)=1),"",","),IF(IFERROR(FIND("素-",第三週!$W$99),0)=1,"",第三週!$W$99),IF(OR(第三週!$W$100=0,IFERROR(FIND("素-",第三週!$W$100),0)=1),"",","),IF(IFERROR(FIND("素-",第三週!$W$100),0)=1,"",第三週!$W$100))</f>
        <v>冷凍胡蘿蔔,冷凍洋芋,冷凍玉米粒,雞蛋</v>
      </c>
      <c r="G40" s="21" t="str">
        <f>_xlfn.CONCAT(IF(IFERROR(FIND("素-",第三週!$W$109),0)=1,"",第三週!$W$109),IF(OR(第三週!$W$110=0,IFERROR(FIND("素-",第三週!$W$110),0)=1),"",","),IF(IFERROR(FIND("素-",第三週!$W$110),0)=1,"",第三週!$W$110),IF(OR(第三週!$W$111=0,IFERROR(FIND("素-",第三週!$W$111),0)=1),"",","),IF(IFERROR(FIND("素-",第三週!$W$111),0)=1,"",第三週!$W$111),IF(OR(第三週!$W$112=0,IFERROR(FIND("素-",第三週!$W$112),0)=1),"",","),IF(IFERROR(FIND("素-",第三週!$W$112),0)=1,"",第三週!$W$112),IF(OR(第三週!$W$113=0,IFERROR(FIND("素-",第三週!$W$113),0)=1),"",","),IF(IFERROR(FIND("素-",第三週!$W$113),0)=1,"",第三週!$W$113),IF(OR(第三週!$W$114=0,IFERROR(FIND("素-",第三週!$W$114),0)=1),"",","),IF(IFERROR(FIND("素-",第三週!$W$114),0)=1,"",第三週!$W$114),IF(OR(第三週!$W$115=0,IFERROR(FIND("素-",第三週!$W$115),0)=1),"",","),IF(IFERROR(FIND("素-",第三週!$W$115),0)=1,"",第三週!$W$115))</f>
        <v>冬粉,豬絞肉,豆瓣醬,青蔥,胡蘿蔔</v>
      </c>
      <c r="H40" s="21" t="str">
        <f>_xlfn.CONCAT(IF(IFERROR(FIND("素-",第三週!$W$199),0)=1,"",第三週!$W$199),IF(OR(第三週!$W$200=0,IFERROR(FIND("素-",第三週!$W$200),0)=1),"",","),IF(IFERROR(FIND("素-",第三週!$W$200),0)=1,"",第三週!$W$200),IF(OR(第三週!$W$201=0,IFERROR(FIND("素-",第三週!$W$201),0)=1),"",","),IF(IFERROR(FIND("素-",第三週!$W$201),0)=1,"",第三週!$W$201),IF(OR(第三週!$W$202=0,IFERROR(FIND("素-",第三週!$W$202),0)=1),"",","),IF(IFERROR(FIND("素-",第三週!$W$202),0)=1,"",第三週!$W$202),IF(OR(第三週!$W$203=0,IFERROR(FIND("素-",第三週!$W$203),0)=1),"",","),IF(IFERROR(FIND("素-",第三週!$W$203),0)=1,"",第三週!$W$203),IF(OR(第三週!$W$204=0,IFERROR(FIND("素-",第三週!$W$204),0)=1),"",","),IF(IFERROR(FIND("素-",第三週!$W$204),0)=1,"",第三週!$W$204),IF(OR(第三週!$W$205=0,IFERROR(FIND("素-",第三週!$W$205),0)=1),"",","),IF(IFERROR(FIND("素-",第三週!$W$205),0)=1,"",第三週!$W$205),IF(OR(第三週!$W$206=0,IFERROR(FIND("素-",第三週!$W$206),0)=1),"",","),IF(IFERROR(FIND("素-",第三週!$W$206),0)=1,"",第三週!$W$206))</f>
        <v>雞蛋,海帶芽,薑絲</v>
      </c>
      <c r="I40" s="474"/>
      <c r="J40" s="482"/>
      <c r="K40" s="482"/>
    </row>
    <row r="41" spans="1:11" ht="49.9" customHeight="1">
      <c r="A41" s="475">
        <f>IF(第三週!$AA$2=0,"",第三週!$AA$2)</f>
        <v>45464</v>
      </c>
      <c r="B41" s="477" t="s">
        <v>37</v>
      </c>
      <c r="C41" s="479" t="str">
        <f>IF(第三週!$AA$4=0,"",第三週!$AA$4)</f>
        <v>白飯</v>
      </c>
      <c r="D41" s="81" t="str">
        <f>IF(第三週!$AA$34=0,"",第三週!$AA$34)</f>
        <v>京醬肉絲</v>
      </c>
      <c r="E41" s="81" t="str">
        <f>IF(第三週!$AA$49=0,"",第三週!$AA$49)</f>
        <v/>
      </c>
      <c r="F41" s="82" t="str">
        <f>IF(第三週!$AA$94=0,"",第三週!$AA$94)</f>
        <v>木耳高麗</v>
      </c>
      <c r="G41" s="82" t="str">
        <f>IF(第三週!$AA$109=0,"",第三週!$AA$109)</f>
        <v>麥克雞塊</v>
      </c>
      <c r="H41" s="82" t="str">
        <f>IF(第三週!$AA$199=0,"",第三週!$AA$199)</f>
        <v>金針貢丸湯</v>
      </c>
      <c r="I41" s="473" t="str">
        <f>IF(第三週!$AA$184=0,"",第三週!$AA$184)</f>
        <v>清炒時蔬</v>
      </c>
      <c r="J41" s="481" t="str">
        <f>IF(第三週!$AA$214=0,"",第三週!$AA$214)</f>
        <v>水果</v>
      </c>
      <c r="K41" s="481" t="str">
        <f>IF(第三週!$AA$234=0,"",第三週!$AA$234)</f>
        <v/>
      </c>
    </row>
    <row r="42" spans="1:11" s="22" customFormat="1" ht="25.15" customHeight="1">
      <c r="A42" s="476"/>
      <c r="B42" s="478"/>
      <c r="C42" s="480"/>
      <c r="D42" s="21" t="str">
        <f>_xlfn.CONCAT(IF(IFERROR(FIND("素-",第三週!$AB$34),0)=1,"",第三週!$AB$34),IF(OR(第三週!$AB$35=0,IFERROR(FIND("素-",第三週!$AB$35),0)=1),"",","),IF(IFERROR(FIND("素-",第三週!$AB$35),0)=1,"",第三週!$AB$35),IF(OR(第三週!$AB$36=0,IFERROR(FIND("素-",第三週!$AB$36),0)=1),"",","),IF(IFERROR(FIND("素-",第三週!$AB$36),0)=1,"",第三週!$AB$36),IF(OR(第三週!$AB$37=0,IFERROR(FIND("素-",第三週!$AB$37),0)=1),"",","),IF(IFERROR(FIND("素-",第三週!$AB$37),0)=1,"",第三週!$AB$37),IF(OR(第三週!$AB$38=0,IFERROR(FIND("素-",第三週!$AB$38),0)=1),"",","),IF(IFERROR(FIND("素-",第三週!$AB$38),0)=1,"",第三週!$AB$38),IF(OR(第三週!$AB$39=0,IFERROR(FIND("素-",第三週!$AB$39),0)=1),"",","),IF(IFERROR(FIND("素-",第三週!$AB$39),0)=1,"",第三週!$AB$39),IF(OR(第三週!$AB$40=0,IFERROR(FIND("素-",第三週!$AB$40),0)=1),"",","),IF(IFERROR(FIND("素-",第三週!$AB$40),0)=1,"",第三週!$AB$40),IF(OR(第三週!$AB$41=0,IFERROR(FIND("素-",第三週!$AB$41),0)=1),"",","),IF(IFERROR(FIND("素-",第三週!$AB$41),0)=1,"",第三週!$AB$41),IF(OR(第三週!$AB$42=0,IFERROR(FIND("素-",第三週!$AB$42),0)=1),"",","),IF(IFERROR(FIND("素-",第三週!$AB$42),0)=1,"",第三週!$AB$42))</f>
        <v>豬前腿肉,洋蔥,洋芋,甜麵醬</v>
      </c>
      <c r="E42" s="21" t="str">
        <f>_xlfn.CONCAT(IF(IFERROR(FIND("素-",第三週!$AB$49),0)=1,"",第三週!$AB$49),IF(OR(第三週!$AB$50=0,IFERROR(FIND("素-",第三週!$AB$50),0)=1),"",","),IF(IFERROR(FIND("素-",第三週!$AB$50),0)=1,"",第三週!$AB$50),IF(OR(第三週!$AB$51=0,IFERROR(FIND("素-",第三週!$AB$51),0)=1),"",","),IF(IFERROR(FIND("素-",第三週!$AB$51),0)=1,"",第三週!$AB$51),IF(OR(第三週!$AB$52=0,IFERROR(FIND("素-",第三週!$AB$52),0)=1),"",","),IF(IFERROR(FIND("素-",第三週!$AB$52),0)=1,"",第三週!$AB$52),IF(OR(第三週!$AB$53=0,IFERROR(FIND("素-",第三週!$AB$53),0)=1),"",","),IF(IFERROR(FIND("素-",第三週!$AB$53),0)=1,"",第三週!$AB$53),IF(OR(第三週!$AB$54=0,IFERROR(FIND("素-",第三週!$AB$54),0)=1),"",","),IF(IFERROR(FIND("素-",第三週!$AB$54),0)=1,"",第三週!$AB$54),IF(OR(第三週!$AB$55=0,IFERROR(FIND("素-",第三週!$AB$55),0)=1),"",","),IF(IFERROR(FIND("素-",第三週!$AB$55),0)=1,"",第三週!$AB$55))</f>
        <v/>
      </c>
      <c r="F42" s="21" t="str">
        <f>_xlfn.CONCAT(IF(IFERROR(FIND("素-",第三週!$AB$94),0)=1,"",第三週!$AB$94),IF(OR(第三週!$AB$95=0,IFERROR(FIND("素-",第三週!$AB$95),0)=1),"",","),IF(IFERROR(FIND("素-",第三週!$AB$95),0)=1,"",第三週!$AB$95),IF(OR(第三週!$AB$96=0,IFERROR(FIND("素-",第三週!$AB$96),0)=1),"",","),IF(IFERROR(FIND("素-",第三週!$AB$96),0)=1,"",第三週!$AB$96),IF(OR(第三週!$AB$97=0,IFERROR(FIND("素-",第三週!$AB$97),0)=1),"",","),IF(IFERROR(FIND("素-",第三週!$AB$97),0)=1,"",第三週!$AB$97),IF(OR(第三週!$AB$98=0,IFERROR(FIND("素-",第三週!$AB$98),0)=1),"",","),IF(IFERROR(FIND("素-",第三週!$AB$98),0)=1,"",第三週!$AB$98),IF(OR(第三週!$AB$99=0,IFERROR(FIND("素-",第三週!$AB$99),0)=1),"",","),IF(IFERROR(FIND("素-",第三週!$AB$99),0)=1,"",第三週!$AB$99),IF(OR(第三週!$AB$100=0,IFERROR(FIND("素-",第三週!$AB$100),0)=1),"",","),IF(IFERROR(FIND("素-",第三週!$AB$100),0)=1,"",第三週!$AB$100))</f>
        <v>高麗菜,木耳,紅蘿蔔,蝦米</v>
      </c>
      <c r="G42" s="21" t="str">
        <f>_xlfn.CONCAT(IF(IFERROR(FIND("素-",第三週!$AB$109),0)=1,"",第三週!$AB$109),IF(OR(第三週!$AB$110=0,IFERROR(FIND("素-",第三週!$AB$110),0)=1),"",","),IF(IFERROR(FIND("素-",第三週!$AB$110),0)=1,"",第三週!$AB$110),IF(OR(第三週!$AB$111=0,IFERROR(FIND("素-",第三週!$AB$111),0)=1),"",","),IF(IFERROR(FIND("素-",第三週!$AB$111),0)=1,"",第三週!$AB$111),IF(OR(第三週!$AB$112=0,IFERROR(FIND("素-",第三週!$AB$112),0)=1),"",","),IF(IFERROR(FIND("素-",第三週!$AB$112),0)=1,"",第三週!$AB$112),IF(OR(第三週!$AB$113=0,IFERROR(FIND("素-",第三週!$AB$113),0)=1),"",","),IF(IFERROR(FIND("素-",第三週!$AB$113),0)=1,"",第三週!$AB$113),IF(OR(第三週!$AB$114=0,IFERROR(FIND("素-",第三週!$AB$114),0)=1),"",","),IF(IFERROR(FIND("素-",第三週!$AB$114),0)=1,"",第三週!$AB$114),IF(OR(第三週!$AB$115=0,IFERROR(FIND("素-",第三週!$AB$115),0)=1),"",","),IF(IFERROR(FIND("素-",第三週!$AB$115),0)=1,"",第三週!$AB$115))</f>
        <v>雞塊</v>
      </c>
      <c r="H42" s="21" t="str">
        <f>_xlfn.CONCAT(IF(IFERROR(FIND("素-",第三週!$AB$199),0)=1,"",第三週!$AB$199),IF(OR(第三週!$AB$200=0,IFERROR(FIND("素-",第三週!$AB$200),0)=1),"",","),IF(IFERROR(FIND("素-",第三週!$AB$200),0)=1,"",第三週!$AB$200),IF(OR(第三週!$AB$201=0,IFERROR(FIND("素-",第三週!$AB$201),0)=1),"",","),IF(IFERROR(FIND("素-",第三週!$AB$201),0)=1,"",第三週!$AB$201),IF(OR(第三週!$AB$202=0,IFERROR(FIND("素-",第三週!$AB$202),0)=1),"",","),IF(IFERROR(FIND("素-",第三週!$AB$202),0)=1,"",第三週!$AB$202),IF(OR(第三週!$AB$203=0,IFERROR(FIND("素-",第三週!$AB$203),0)=1),"",","),IF(IFERROR(FIND("素-",第三週!$AB$203),0)=1,"",第三週!$AB$203),IF(OR(第三週!$AB$204=0,IFERROR(FIND("素-",第三週!$AB$204),0)=1),"",","),IF(IFERROR(FIND("素-",第三週!$AB$204),0)=1,"",第三週!$AB$204),IF(OR(第三週!$AB$205=0,IFERROR(FIND("素-",第三週!$AB$205),0)=1),"",","),IF(IFERROR(FIND("素-",第三週!$AB$205),0)=1,"",第三週!$AB$205),IF(OR(第三週!$AB$206=0,IFERROR(FIND("素-",第三週!$AB$206),0)=1),"",","),IF(IFERROR(FIND("素-",第三週!$AB$206),0)=1,"",第三週!$AB$206))</f>
        <v>乾金針,貢丸</v>
      </c>
      <c r="I42" s="474"/>
      <c r="J42" s="482"/>
      <c r="K42" s="482"/>
    </row>
    <row r="43" spans="1:11" ht="49.9" hidden="1" customHeight="1">
      <c r="A43" s="475" t="str">
        <f>IF(第三週!$AF$2=0,"",第三週!$AF$2)</f>
        <v/>
      </c>
      <c r="B43" s="477" t="s">
        <v>38</v>
      </c>
      <c r="C43" s="479" t="str">
        <f>IF(第三週!$AF$4=0,"",第三週!$AF$4)</f>
        <v/>
      </c>
      <c r="D43" s="81" t="str">
        <f>IF(第三週!$AF$34=0,"",第三週!$AF$34)</f>
        <v/>
      </c>
      <c r="E43" s="81" t="str">
        <f>IF(第三週!$AF$49=0,"",第三週!$AF$49)</f>
        <v/>
      </c>
      <c r="F43" s="82" t="str">
        <f>IF(第三週!$AF$94=0,"",第三週!$AF$94)</f>
        <v/>
      </c>
      <c r="G43" s="82" t="str">
        <f>IF(第三週!$AF$109=0,"",第三週!$AF$109)</f>
        <v/>
      </c>
      <c r="H43" s="82" t="str">
        <f>IF(第三週!$AF$199=0,"",第三週!$AF$199)</f>
        <v/>
      </c>
      <c r="I43" s="473" t="str">
        <f>IF(第三週!$AF$184=0,"",第三週!$AF$184)</f>
        <v/>
      </c>
      <c r="J43" s="481" t="str">
        <f>IF(第三週!$AF$214=0,"",第三週!$AF$214)</f>
        <v/>
      </c>
      <c r="K43" s="481" t="str">
        <f>IF(第三週!$AF$234=0,"",第三週!$AF$234)</f>
        <v/>
      </c>
    </row>
    <row r="44" spans="1:11" s="22" customFormat="1" ht="25.15" hidden="1" customHeight="1">
      <c r="A44" s="476"/>
      <c r="B44" s="478"/>
      <c r="C44" s="480"/>
      <c r="D44" s="21" t="str">
        <f>_xlfn.CONCAT(IF(IFERROR(FIND("素-",第三週!$AG$34),0)=1,"",第三週!$AG$34),IF(OR(第三週!$AG$35=0,IFERROR(FIND("素-",第三週!$AG$35),0)=1),"",","),IF(IFERROR(FIND("素-",第三週!$AG$35),0)=1,"",第三週!$AG$35),IF(OR(第三週!$AG$36=0,IFERROR(FIND("素-",第三週!$AG$36),0)=1),"",","),IF(IFERROR(FIND("素-",第三週!$AG$36),0)=1,"",第三週!$AG$36),IF(OR(第三週!$AG$37=0,IFERROR(FIND("素-",第三週!$AG$37),0)=1),"",","),IF(IFERROR(FIND("素-",第三週!$AG$37),0)=1,"",第三週!$AG$37),IF(OR(第三週!$AG$38=0,IFERROR(FIND("素-",第三週!$AG$38),0)=1),"",","),IF(IFERROR(FIND("素-",第三週!$AG$38),0)=1,"",第三週!$AG$38),IF(OR(第三週!$AG$39=0,IFERROR(FIND("素-",第三週!$AG$39),0)=1),"",","),IF(IFERROR(FIND("素-",第三週!$AG$39),0)=1,"",第三週!$AG$39),IF(OR(第三週!$AG$40=0,IFERROR(FIND("素-",第三週!$AG$40),0)=1),"",","),IF(IFERROR(FIND("素-",第三週!$AG$40),0)=1,"",第三週!$AG$40),IF(OR(第三週!$AG$41=0,IFERROR(FIND("素-",第三週!$AG$41),0)=1),"",","),IF(IFERROR(FIND("素-",第三週!$AG$41),0)=1,"",第三週!$AG$41),IF(OR(第三週!$AG$42=0,IFERROR(FIND("素-",第三週!$AG$42),0)=1),"",","),IF(IFERROR(FIND("素-",第三週!$AG$42),0)=1,"",第三週!$AG$42))</f>
        <v/>
      </c>
      <c r="E44" s="21" t="str">
        <f>_xlfn.CONCAT(IF(IFERROR(FIND("素-",第三週!$AG$49),0)=1,"",第三週!$AG$49),IF(OR(第三週!$AG$50=0,IFERROR(FIND("素-",第三週!$AG$50),0)=1),"",","),IF(IFERROR(FIND("素-",第三週!$AG$50),0)=1,"",第三週!$AG$50),IF(OR(第三週!$AG$51=0,IFERROR(FIND("素-",第三週!$AG$51),0)=1),"",","),IF(IFERROR(FIND("素-",第三週!$AG$51),0)=1,"",第三週!$AG$51),IF(OR(第三週!$AG$52=0,IFERROR(FIND("素-",第三週!$AG$52),0)=1),"",","),IF(IFERROR(FIND("素-",第三週!$AG$52),0)=1,"",第三週!$AG$52),IF(OR(第三週!$AG$53=0,IFERROR(FIND("素-",第三週!$AG$53),0)=1),"",","),IF(IFERROR(FIND("素-",第三週!$AG$53),0)=1,"",第三週!$AG$53),IF(OR(第三週!$AG$54=0,IFERROR(FIND("素-",第三週!$AG$54),0)=1),"",","),IF(IFERROR(FIND("素-",第三週!$AG$54),0)=1,"",第三週!$AG$54),IF(OR(第三週!$AG$55=0,IFERROR(FIND("素-",第三週!$AG$55),0)=1),"",","),IF(IFERROR(FIND("素-",第三週!$AG$55),0)=1,"",第三週!$AG$55))</f>
        <v/>
      </c>
      <c r="F44" s="21" t="str">
        <f>_xlfn.CONCAT(IF(IFERROR(FIND("素-",第三週!$AG$94),0)=1,"",第三週!$AG$94),IF(OR(第三週!$AG$95=0,IFERROR(FIND("素-",第三週!$AG$95),0)=1),"",","),IF(IFERROR(FIND("素-",第三週!$AG$95),0)=1,"",第三週!$AG$95),IF(OR(第三週!$AG$96=0,IFERROR(FIND("素-",第三週!$AG$96),0)=1),"",","),IF(IFERROR(FIND("素-",第三週!$AG$96),0)=1,"",第三週!$AG$96),IF(OR(第三週!$AG$97=0,IFERROR(FIND("素-",第三週!$AG$97),0)=1),"",","),IF(IFERROR(FIND("素-",第三週!$AG$97),0)=1,"",第三週!$AG$97),IF(OR(第三週!$AG$98=0,IFERROR(FIND("素-",第三週!$AG$98),0)=1),"",","),IF(IFERROR(FIND("素-",第三週!$AG$98),0)=1,"",第三週!$AG$98),IF(OR(第三週!$AG$99=0,IFERROR(FIND("素-",第三週!$AG$99),0)=1),"",","),IF(IFERROR(FIND("素-",第三週!$AG$99),0)=1,"",第三週!$AG$99),IF(OR(第三週!$AG$100=0,IFERROR(FIND("素-",第三週!$AG$100),0)=1),"",","),IF(IFERROR(FIND("素-",第三週!$AG$100),0)=1,"",第三週!$AG$100))</f>
        <v/>
      </c>
      <c r="G44" s="21" t="str">
        <f>_xlfn.CONCAT(IF(IFERROR(FIND("素-",第三週!$AG$109),0)=1,"",第三週!$AG$109),IF(OR(第三週!$AG$110=0,IFERROR(FIND("素-",第三週!$AG$110),0)=1),"",","),IF(IFERROR(FIND("素-",第三週!$AG$110),0)=1,"",第三週!$AG$110),IF(OR(第三週!$AG$111=0,IFERROR(FIND("素-",第三週!$AG$111),0)=1),"",","),IF(IFERROR(FIND("素-",第三週!$AG$111),0)=1,"",第三週!$AG$111),IF(OR(第三週!$AG$112=0,IFERROR(FIND("素-",第三週!$AG$112),0)=1),"",","),IF(IFERROR(FIND("素-",第三週!$AG$112),0)=1,"",第三週!$AG$112),IF(OR(第三週!$AG$113=0,IFERROR(FIND("素-",第三週!$AG$113),0)=1),"",","),IF(IFERROR(FIND("素-",第三週!$AG$113),0)=1,"",第三週!$AG$113),IF(OR(第三週!$AG$114=0,IFERROR(FIND("素-",第三週!$AG$114),0)=1),"",","),IF(IFERROR(FIND("素-",第三週!$AG$114),0)=1,"",第三週!$AG$114),IF(OR(第三週!$AG$115=0,IFERROR(FIND("素-",第三週!$AG$115),0)=1),"",","),IF(IFERROR(FIND("素-",第三週!$AG$115),0)=1,"",第三週!$AG$115))</f>
        <v/>
      </c>
      <c r="H44" s="21" t="str">
        <f>_xlfn.CONCAT(IF(IFERROR(FIND("素-",第三週!$AG$199),0)=1,"",第三週!$AG$199),IF(OR(第三週!$AG$200=0,IFERROR(FIND("素-",第三週!$AG$200),0)=1),"",","),IF(IFERROR(FIND("素-",第三週!$AG$200),0)=1,"",第三週!$AG$200),IF(OR(第三週!$AG$201=0,IFERROR(FIND("素-",第三週!$AG$201),0)=1),"",","),IF(IFERROR(FIND("素-",第三週!$AG$201),0)=1,"",第三週!$AG$201),IF(OR(第三週!$AG$202=0,IFERROR(FIND("素-",第三週!$AG$202),0)=1),"",","),IF(IFERROR(FIND("素-",第三週!$AG$202),0)=1,"",第三週!$AG$202),IF(OR(第三週!$AG$203=0,IFERROR(FIND("素-",第三週!$AG$203),0)=1),"",","),IF(IFERROR(FIND("素-",第三週!$AG$203),0)=1,"",第三週!$AG$203),IF(OR(第三週!$AG$204=0,IFERROR(FIND("素-",第三週!$AG$204),0)=1),"",","),IF(IFERROR(FIND("素-",第三週!$AG$204),0)=1,"",第三週!$AG$204),IF(OR(第三週!$AG$205=0,IFERROR(FIND("素-",第三週!$AG$205),0)=1),"",","),IF(IFERROR(FIND("素-",第三週!$AG$205),0)=1,"",第三週!$AG$205),IF(OR(第三週!$AG$206=0,IFERROR(FIND("素-",第三週!$AG$206),0)=1),"",","),IF(IFERROR(FIND("素-",第三週!$AG$206),0)=1,"",第三週!$AG$206))</f>
        <v/>
      </c>
      <c r="I44" s="474"/>
      <c r="J44" s="482"/>
      <c r="K44" s="482"/>
    </row>
    <row r="45" spans="1:11" ht="49.9" hidden="1" customHeight="1">
      <c r="A45" s="475"/>
      <c r="B45" s="477" t="s">
        <v>39</v>
      </c>
      <c r="C45" s="479"/>
      <c r="D45" s="81"/>
      <c r="E45" s="81"/>
      <c r="F45" s="81"/>
      <c r="G45" s="84"/>
      <c r="H45" s="84"/>
      <c r="I45" s="473"/>
      <c r="J45" s="481"/>
      <c r="K45" s="481"/>
    </row>
    <row r="46" spans="1:11" s="22" customFormat="1" ht="25.15" hidden="1" customHeight="1">
      <c r="A46" s="476"/>
      <c r="B46" s="478"/>
      <c r="C46" s="480"/>
      <c r="D46" s="21"/>
      <c r="E46" s="21"/>
      <c r="F46" s="21"/>
      <c r="G46" s="21"/>
      <c r="H46" s="21"/>
      <c r="I46" s="474"/>
      <c r="J46" s="482"/>
      <c r="K46" s="482"/>
    </row>
    <row r="47" spans="1:11" ht="49.9" customHeight="1">
      <c r="A47" s="475">
        <f>IF(第四週!$G$2=0,"",第四週!$G$2)</f>
        <v>45467</v>
      </c>
      <c r="B47" s="477" t="s">
        <v>22</v>
      </c>
      <c r="C47" s="479" t="str">
        <f>IF(第四週!$G$4=0,"",第四週!$G$4)</f>
        <v>白飯</v>
      </c>
      <c r="D47" s="81" t="str">
        <f>IF(第四週!$G$34=0,"",第四週!$G$34)</f>
        <v>芋香燉肉</v>
      </c>
      <c r="E47" s="81" t="str">
        <f>IF(第四週!$G$49=0,"",第四週!$G$49)</f>
        <v/>
      </c>
      <c r="F47" s="82" t="str">
        <f>IF(第四週!$G$95=0,"",第四週!$G$95)</f>
        <v>土豆麵筋</v>
      </c>
      <c r="G47" s="82" t="str">
        <f>IF(第四週!$G$110=0,"",第四週!$G$110)</f>
        <v>照燒百頁</v>
      </c>
      <c r="H47" s="82" t="str">
        <f>IF(第四週!$G$200=0,"",第四週!$G$200)</f>
        <v>酸辣湯</v>
      </c>
      <c r="I47" s="473" t="str">
        <f>IF(第四週!$G$185=0,"",第四週!$G$185)</f>
        <v>清炒時蔬</v>
      </c>
      <c r="J47" s="481" t="str">
        <f>IF(第四週!$G$215=0,"",第四週!$G$215)</f>
        <v>堅果</v>
      </c>
      <c r="K47" s="481" t="str">
        <f>IF(第四週!$G$235=0,"",第四週!$G$235)</f>
        <v/>
      </c>
    </row>
    <row r="48" spans="1:11" s="22" customFormat="1" ht="25.15" customHeight="1">
      <c r="A48" s="476"/>
      <c r="B48" s="478"/>
      <c r="C48" s="480"/>
      <c r="D48" s="21" t="str">
        <f>_xlfn.CONCAT(IF(IFERROR(FIND("素-",第四週!$H$34),0)=1,"",第四週!$H$34),IF(OR(第四週!$H$35=0,IFERROR(FIND("素-",第四週!$H$35),0)=1),"",","),IF(IFERROR(FIND("素-",第四週!$H$35),0)=1,"",第四週!$H$35),IF(OR(第四週!$H$36=0,IFERROR(FIND("素-",第四週!$H$36),0)=1),"",","),IF(IFERROR(FIND("素-",第四週!$H$36),0)=1,"",第四週!$H$36),IF(OR(第四週!$H$37=0,IFERROR(FIND("素-",第四週!$H$37),0)=1),"",","),IF(IFERROR(FIND("素-",第四週!$H$37),0)=1,"",第四週!$H$37),IF(OR(第四週!$H$38=0,IFERROR(FIND("素-",第四週!$H$38),0)=1),"",","),IF(IFERROR(FIND("素-",第四週!$H$38),0)=1,"",第四週!$H$38),IF(OR(第四週!$H$39=0,IFERROR(FIND("素-",第四週!$H$39),0)=1),"",","),IF(IFERROR(FIND("素-",第四週!$H$39),0)=1,"",第四週!$H$39),IF(OR(第四週!$H$40=0,IFERROR(FIND("素-",第四週!$H$40),0)=1),"",","),IF(IFERROR(FIND("素-",第四週!$H$40),0)=1,"",第四週!$H$40),IF(OR(第四週!$H$41=0,IFERROR(FIND("素-",第四週!$H$41),0)=1),"",","),IF(IFERROR(FIND("素-",第四週!$H$41),0)=1,"",第四週!$H$41),IF(OR(第四週!$H$42=0,IFERROR(FIND("素-",第四週!$H$42),0)=1),"",","),IF(IFERROR(FIND("素-",第四週!$H$42),0)=1,"",第四週!$H$42))</f>
        <v>冷凍芋頭塊,豬前腿肉,大蒜</v>
      </c>
      <c r="E48" s="21" t="str">
        <f>_xlfn.CONCAT(IF(IFERROR(FIND("素-",第四週!$H$49),0)=1,"",第四週!$H$49),IF(OR(第四週!$H$50=0,IFERROR(FIND("素-",第四週!$H$50),0)=1),"",","),IF(IFERROR(FIND("素-",第四週!$H$50),0)=1,"",第四週!$H$50),IF(OR(第四週!$H$51=0,IFERROR(FIND("素-",第四週!$H$51),0)=1),"",","),IF(IFERROR(FIND("素-",第四週!$H$51),0)=1,"",第四週!$H$51),IF(OR(第四週!$H$53=0,IFERROR(FIND("素-",第四週!$H$53),0)=1),"",","),IF(IFERROR(FIND("素-",第四週!$H$53),0)=1,"",第四週!$H$53),IF(OR(第四週!$H$54=0,IFERROR(FIND("素-",第四週!$H$54),0)=1),"",","),IF(IFERROR(FIND("素-",第四週!$H$54),0)=1,"",第四週!$H$54),IF(OR(第四週!$H$55=0,IFERROR(FIND("素-",第四週!$H$55),0)=1),"",","),IF(IFERROR(FIND("素-",第四週!$H$55),0)=1,"",第四週!$H$55),IF(OR(第四週!$H$56=0,IFERROR(FIND("素-",第四週!$H$56),0)=1),"",","),IF(IFERROR(FIND("素-",第四週!$H$56),0)=1,"",第四週!$H$56))</f>
        <v/>
      </c>
      <c r="F48" s="21" t="str">
        <f>_xlfn.CONCAT(IF(IFERROR(FIND("素-",第四週!$H$95),0)=1,"",第四週!$H$95),IF(OR(第四週!$H$96=0,IFERROR(FIND("素-",第四週!$H$96),0)=1),"",","),IF(IFERROR(FIND("素-",第四週!$H$96),0)=1,"",第四週!$H$96),IF(OR(第四週!$H$97=0,IFERROR(FIND("素-",第四週!$H$97),0)=1),"",","),IF(IFERROR(FIND("素-",第四週!$H$97),0)=1,"",第四週!$H$97),IF(OR(第四週!$H$98=0,IFERROR(FIND("素-",第四週!$H$98),0)=1),"",","),IF(IFERROR(FIND("素-",第四週!$H$98),0)=1,"",第四週!$H$98),IF(OR(第四週!$H$99=0,IFERROR(FIND("素-",第四週!$H$99),0)=1),"",","),IF(IFERROR(FIND("素-",第四週!$H$99),0)=1,"",第四週!$H$99),IF(OR(第四週!$H$100=0,IFERROR(FIND("素-",第四週!$H$100),0)=1),"",","),IF(IFERROR(FIND("素-",第四週!$H$100),0)=1,"",第四週!$H$100),IF(OR(第四週!$H$101=0,IFERROR(FIND("素-",第四週!$H$101),0)=1),"",","),IF(IFERROR(FIND("素-",第四週!$H$101),0)=1,"",第四週!$H$101))</f>
        <v>紅土花生,麵筋泡,胡蘿蔔</v>
      </c>
      <c r="G48" s="21" t="str">
        <f>_xlfn.CONCAT(IF(IFERROR(FIND("素-",第四週!$H$110),0)=1,"",第四週!$H$110),IF(OR(第四週!$H$111=0,IFERROR(FIND("素-",第四週!$H$111),0)=1),"",","),IF(IFERROR(FIND("素-",第四週!$H$111),0)=1,"",第四週!$H$111),IF(OR(第四週!$H$112=0,IFERROR(FIND("素-",第四週!$H$112),0)=1),"",","),IF(IFERROR(FIND("素-",第四週!$H$112),0)=1,"",第四週!$H$112),IF(OR(第四週!$H$113=0,IFERROR(FIND("素-",第四週!$H$113),0)=1),"",","),IF(IFERROR(FIND("素-",第四週!$H$113),0)=1,"",第四週!$H$113),IF(OR(第四週!$H$114=0,IFERROR(FIND("素-",第四週!$H$114),0)=1),"",","),IF(IFERROR(FIND("素-",第四週!$H$114),0)=1,"",第四週!$H$114),IF(OR(第四週!$H$115=0,IFERROR(FIND("素-",第四週!$H$115),0)=1),"",","),IF(IFERROR(FIND("素-",第四週!$H$115),0)=1,"",第四週!$H$115),IF(OR(第四週!$H$116=0,IFERROR(FIND("素-",第四週!$H$116),0)=1),"",","),IF(IFERROR(FIND("素-",第四週!$H$116),0)=1,"",第四週!$H$116))</f>
        <v>百頁豆腐,生香菇,照燒醬</v>
      </c>
      <c r="H48" s="21" t="str">
        <f>_xlfn.CONCAT(IF(IFERROR(FIND("素-",第四週!$H$200),0)=1,"",第四週!$H$200),IF(OR(第四週!$H$201=0,IFERROR(FIND("素-",第四週!$H$201),0)=1),"",","),IF(IFERROR(FIND("素-",第四週!$H$201),0)=1,"",第四週!$H$201),IF(OR(第四週!$H$202=0,IFERROR(FIND("素-",第四週!$H$202),0)=1),"",","),IF(IFERROR(FIND("素-",第四週!$H$202),0)=1,"",第四週!$H$202),IF(OR(第四週!$H$203=0,IFERROR(FIND("素-",第四週!$H$203),0)=1),"",","),IF(IFERROR(FIND("素-",第四週!$H$203),0)=1,"",第四週!$H$203),IF(OR(第四週!$H$204=0,IFERROR(FIND("素-",第四週!$H$204),0)=1),"",","),IF(IFERROR(FIND("素-",第四週!$H$204),0)=1,"",第四週!$H$204),IF(OR(第四週!$H$205=0,IFERROR(FIND("素-",第四週!$H$205),0)=1),"",","),IF(IFERROR(FIND("素-",第四週!$H$205),0)=1,"",第四週!$H$205),IF(OR(第四週!$H$206=0,IFERROR(FIND("素-",第四週!$H$206),0)=1),"",","),IF(IFERROR(FIND("素-",第四週!$H$206),0)=1,"",第四週!$H$206),IF(OR(第四週!$H$207=0,IFERROR(FIND("素-",第四週!$H$207),0)=1),"",","),IF(IFERROR(FIND("素-",第四週!$H$207),0)=1,"",第四週!$H$207))</f>
        <v>板豆腐,木耳,胡蘿蔔,雞蛋,筍籤,烏醋</v>
      </c>
      <c r="I48" s="474"/>
      <c r="J48" s="482"/>
      <c r="K48" s="482"/>
    </row>
    <row r="49" spans="1:11" ht="49.9" customHeight="1">
      <c r="A49" s="475">
        <f>IF(第四週!$L$2=0,"",第四週!$L$2)</f>
        <v>45468</v>
      </c>
      <c r="B49" s="477" t="s">
        <v>23</v>
      </c>
      <c r="C49" s="479" t="str">
        <f>IF(第四週!$L$4=0,"",第四週!$L$4)</f>
        <v>白飯</v>
      </c>
      <c r="D49" s="81" t="str">
        <f>IF(第四週!$L$34=0,"",第四週!$L$34)</f>
        <v>紫蘇梅雞</v>
      </c>
      <c r="E49" s="81" t="str">
        <f>IF(第四週!$L$49=0,"",第四週!$L$49)</f>
        <v/>
      </c>
      <c r="F49" s="82" t="str">
        <f>IF(第四週!$L$95=0,"",第四週!$L$95)</f>
        <v>奶香雙薯</v>
      </c>
      <c r="G49" s="82" t="str">
        <f>IF(第四週!$L$110=0,"",第四週!$L$110)</f>
        <v>滷味拼盤</v>
      </c>
      <c r="H49" s="82" t="str">
        <f>IF(第四週!$L$200=0,"",第四週!$L$200)</f>
        <v>四神湯</v>
      </c>
      <c r="I49" s="473" t="str">
        <f>IF(第四週!$L$185=0,"",第四週!$L$185)</f>
        <v>清炒時蔬</v>
      </c>
      <c r="J49" s="481" t="str">
        <f>IF(第四週!$L$215=0,"",第四週!$L$215)</f>
        <v>牛奶</v>
      </c>
      <c r="K49" s="481" t="str">
        <f>IF(第四週!$L$235=0,"",第四週!$L$235)</f>
        <v/>
      </c>
    </row>
    <row r="50" spans="1:11" s="22" customFormat="1" ht="25.15" customHeight="1">
      <c r="A50" s="476"/>
      <c r="B50" s="478"/>
      <c r="C50" s="480"/>
      <c r="D50" s="21" t="str">
        <f>_xlfn.CONCAT(IF(IFERROR(FIND("素-",第四週!$M$34),0)=1,"",第四週!$M$34),IF(OR(第四週!$M$35=0,IFERROR(FIND("素-",第四週!$M$35),0)=1),"",","),IF(IFERROR(FIND("素-",第四週!$M$35),0)=1,"",第四週!$M$35),IF(OR(第四週!$M$36=0,IFERROR(FIND("素-",第四週!$M$36),0)=1),"",","),IF(IFERROR(FIND("素-",第四週!$M$36),0)=1,"",第四週!$M$36),IF(OR(第四週!$M$37=0,IFERROR(FIND("素-",第四週!$M$37),0)=1),"",","),IF(IFERROR(FIND("素-",第四週!$M$37),0)=1,"",第四週!$M$37),IF(OR(第四週!$M$38=0,IFERROR(FIND("素-",第四週!$M$38),0)=1),"",","),IF(IFERROR(FIND("素-",第四週!$M$38),0)=1,"",第四週!$M$38),IF(OR(第四週!$M$39=0,IFERROR(FIND("素-",第四週!$M$39),0)=1),"",","),IF(IFERROR(FIND("素-",第四週!$M$39),0)=1,"",第四週!$M$39),IF(OR(第四週!$M$40=0,IFERROR(FIND("素-",第四週!$M$40),0)=1),"",","),IF(IFERROR(FIND("素-",第四週!$M$40),0)=1,"",第四週!$M$40),IF(OR(第四週!$M$41=0,IFERROR(FIND("素-",第四週!$M$41),0)=1),"",","),IF(IFERROR(FIND("素-",第四週!$M$41),0)=1,"",第四週!$M$41),IF(OR(第四週!$M$42=0,IFERROR(FIND("素-",第四週!$M$42),0)=1),"",","),IF(IFERROR(FIND("素-",第四週!$M$42),0)=1,"",第四週!$M$42))</f>
        <v>骨腿,雞清胸肉,紫蘇梅,杏鮑菇</v>
      </c>
      <c r="E50" s="21"/>
      <c r="F50" s="23" t="str">
        <f>_xlfn.CONCAT(IF(IFERROR(FIND("素-",第四週!$M$95),0)=1,"",第四週!$M$95),IF(OR(第四週!$M$96=0,IFERROR(FIND("素-",第四週!$M$96),0)=1),"",","),IF(IFERROR(FIND("素-",第四週!$M$96),0)=1,"",第四週!$M$96),IF(OR(第四週!$M$97=0,IFERROR(FIND("素-",第四週!$M$97),0)=1),"",","),IF(IFERROR(FIND("素-",第四週!$M$97),0)=1,"",第四週!$M$97),IF(OR(第四週!$M$98=0,IFERROR(FIND("素-",第四週!$M$98),0)=1),"",","),IF(IFERROR(FIND("素-",第四週!$M$98),0)=1,"",第四週!$M$98),IF(OR(第四週!$M$99=0,IFERROR(FIND("素-",第四週!$M$99),0)=1),"",","),IF(IFERROR(FIND("素-",第四週!$M$99),0)=1,"",第四週!$M$99),IF(OR(第四週!$M$100=0,IFERROR(FIND("素-",第四週!$M$100),0)=1),"",","),IF(IFERROR(FIND("素-",第四週!$M$100),0)=1,"",第四週!$M$100),IF(OR(第四週!$M$101=0,IFERROR(FIND("素-",第四週!$M$101),0)=1),"",","),IF(IFERROR(FIND("素-",第四週!$M$101),0)=1,"",第四週!$M$101))</f>
        <v>地瓜,洋芋,冷凍玉米粒,全脂奶粉</v>
      </c>
      <c r="G50" s="21" t="str">
        <f>_xlfn.CONCAT(IF(IFERROR(FIND("素-",第四週!$M$110),0)=1,"",第四週!$M$110),IF(OR(第四週!$M$111=0,IFERROR(FIND("素-",第四週!$M$111),0)=1),"",","),IF(IFERROR(FIND("素-",第四週!$M$111),0)=1,"",第四週!$M$111),IF(OR(第四週!$M$112=0,IFERROR(FIND("素-",第四週!$M$112),0)=1),"",","),IF(IFERROR(FIND("素-",第四週!$M$112),0)=1,"",第四週!$M$112),IF(OR(第四週!$M$113=0,IFERROR(FIND("素-",第四週!$M$113),0)=1),"",","),IF(IFERROR(FIND("素-",第四週!$M$113),0)=1,"",第四週!$M$113),IF(OR(第四週!$M$114=0,IFERROR(FIND("素-",第四週!$M$114),0)=1),"",","),IF(IFERROR(FIND("素-",第四週!$M$114),0)=1,"",第四週!$M$114),IF(OR(第四週!$M$115=0,IFERROR(FIND("素-",第四週!$M$115),0)=1),"",","),IF(IFERROR(FIND("素-",第四週!$M$115),0)=1,"",第四週!$M$115),IF(OR(第四週!$M$116=0,IFERROR(FIND("素-",第四週!$M$116),0)=1),"",","),IF(IFERROR(FIND("素-",第四週!$M$116),0)=1,"",第四週!$M$116))</f>
        <v>大黑豆干,胡蘿蔔,杏鮑菇</v>
      </c>
      <c r="H50" s="21" t="str">
        <f>_xlfn.CONCAT(IF(IFERROR(FIND("素-",第四週!$M$200),0)=1,"",第四週!$M$200),IF(OR(第四週!$M$201=0,IFERROR(FIND("素-",第四週!$M$201),0)=1),"",","),IF(IFERROR(FIND("素-",第四週!$M$201),0)=1,"",第四週!$M$201),IF(OR(第四週!$M$202=0,IFERROR(FIND("素-",第四週!$M$202),0)=1),"",","),IF(IFERROR(FIND("素-",第四週!$M$202),0)=1,"",第四週!$M$202),IF(OR(第四週!$M$203=0,IFERROR(FIND("素-",第四週!$M$203),0)=1),"",","),IF(IFERROR(FIND("素-",第四週!$M$203),0)=1,"",第四週!$M$203),IF(OR(第四週!$M$204=0,IFERROR(FIND("素-",第四週!$M$204),0)=1),"",","),IF(IFERROR(FIND("素-",第四週!$M$204),0)=1,"",第四週!$M$204),IF(OR(第四週!$M$205=0,IFERROR(FIND("素-",第四週!$M$205),0)=1),"",","),IF(IFERROR(FIND("素-",第四週!$M$205),0)=1,"",第四週!$M$205),IF(OR(第四週!$M$206=0,IFERROR(FIND("素-",第四週!$M$206),0)=1),"",","),IF(IFERROR(FIND("素-",第四週!$M$206),0)=1,"",第四週!$M$206),IF(OR(第四週!$M$207=0,IFERROR(FIND("素-",第四週!$M$207),0)=1),"",","),IF(IFERROR(FIND("素-",第四週!$M$207),0)=1,"",第四週!$M$207))</f>
        <v>四神包,小薏仁,中排</v>
      </c>
      <c r="I50" s="474"/>
      <c r="J50" s="482"/>
      <c r="K50" s="482"/>
    </row>
    <row r="51" spans="1:11" ht="49.9" customHeight="1">
      <c r="A51" s="475">
        <f>IF(第四週!$Q$2=0,"",第四週!$Q$2)</f>
        <v>45469</v>
      </c>
      <c r="B51" s="477" t="s">
        <v>24</v>
      </c>
      <c r="C51" s="479" t="str">
        <f>IF(第四週!$Q$4=0,"",第四週!$Q$4)</f>
        <v>白飯</v>
      </c>
      <c r="D51" s="81" t="str">
        <f>IF(第四週!$Q$34=0,"",第四週!$Q$34)</f>
        <v>肉羹飯</v>
      </c>
      <c r="E51" s="81" t="str">
        <f>IF(第四週!$Q$49=0,"",第四週!$Q$49)</f>
        <v>香滷翅小腿</v>
      </c>
      <c r="F51" s="82" t="str">
        <f>IF(第四週!$Q$95=0,"",第四週!$Q$95)</f>
        <v/>
      </c>
      <c r="G51" s="82" t="str">
        <f>IF(第四週!$Q$110=0,"",第四週!$Q$110)</f>
        <v>洋芋燴毛豆</v>
      </c>
      <c r="H51" s="82" t="str">
        <f>IF(第四週!$Q$200=0,"",第四週!$Q$200)</f>
        <v>蘿蔔貢丸湯</v>
      </c>
      <c r="I51" s="473" t="str">
        <f>IF(第四週!$Q$185=0,"",第四週!$Q$185)</f>
        <v>清炒時蔬</v>
      </c>
      <c r="J51" s="481" t="str">
        <f>IF(第四週!$Q$215=0,"",第四週!$Q$215)</f>
        <v>水果</v>
      </c>
      <c r="K51" s="481" t="str">
        <f>IF(第四週!$Q$220=0,"",第四週!$Q$220)</f>
        <v/>
      </c>
    </row>
    <row r="52" spans="1:11" s="22" customFormat="1" ht="25.15" customHeight="1">
      <c r="A52" s="476"/>
      <c r="B52" s="478"/>
      <c r="C52" s="480"/>
      <c r="D52" s="21" t="e">
        <f>_xlfn.CONCAT(IF(IFERROR(FIND("素-",第四週!$R$34),0)=1,"",第四週!$R$34),IF(OR(第四週!$R$35=0,IFERROR(FIND("素-",第四週!$R$35),0)=1),"",","),IF(IFERROR(FIND("素-",第四週!$R$35),0)=1,"",第四週!$R$35),IF(OR(第四週!#REF!=0,IFERROR(FIND("素-",第四週!#REF!),0)=1),"",","),IF(IFERROR(FIND("素-",第四週!#REF!),0)=1,"",第四週!#REF!),IF(OR(第四週!$R$36=0,IFERROR(FIND("素-",第四週!$R$36),0)=1),"",","),IF(IFERROR(FIND("素-",第四週!$R$36),0)=1,"",第四週!$R$36),IF(OR(第四週!$R$37=0,IFERROR(FIND("素-",第四週!$R$37),0)=1),"",","),IF(IFERROR(FIND("素-",第四週!$R$37),0)=1,"",第四週!$R$37),IF(OR(第四週!$R$38=0,IFERROR(FIND("素-",第四週!$R$38),0)=1),"",","),IF(IFERROR(FIND("素-",第四週!$R$38),0)=1,"",第四週!$R$38),IF(OR(第四週!$R$39=0,IFERROR(FIND("素-",第四週!$R$39),0)=1),"",","),IF(IFERROR(FIND("素-",第四週!$R$39),0)=1,"",第四週!$R$39),IF(OR(第四週!$R$40=0,IFERROR(FIND("素-",第四週!$R$40),0)=1),"",","),IF(IFERROR(FIND("素-",第四週!$R$40),0)=1,"",第四週!$R$40),IF(OR(第四週!$R$41=0,IFERROR(FIND("素-",第四週!$R$41),0)=1),"",","),IF(IFERROR(FIND("素-",第四週!$R$41),0)=1,"",第四週!$R$41))</f>
        <v>#REF!</v>
      </c>
      <c r="E52" s="21" t="str">
        <f>_xlfn.CONCAT(IF(IFERROR(FIND("素-",第四週!$R$49),0)=1,"",第四週!$R$49),IF(OR(第四週!$R$50=0,IFERROR(FIND("素-",第四週!$R$50),0)=1),"",","),IF(IFERROR(FIND("素-",第四週!$R$50),0)=1,"",第四週!$R$50),IF(OR(第四週!$R$51=0,IFERROR(FIND("素-",第四週!$R$51),0)=1),"",","),IF(IFERROR(FIND("素-",第四週!$R$51),0)=1,"",第四週!$R$51),IF(OR(第四週!$R$53=0,IFERROR(FIND("素-",第四週!$R$53),0)=1),"",","),IF(IFERROR(FIND("素-",第四週!$R$53),0)=1,"",第四週!$R$53),IF(OR(第四週!$R$54=0,IFERROR(FIND("素-",第四週!$R$54),0)=1),"",","),IF(IFERROR(FIND("素-",第四週!$R$54),0)=1,"",第四週!$R$54),IF(OR(第四週!$R$55=0,IFERROR(FIND("素-",第四週!$R$55),0)=1),"",","),IF(IFERROR(FIND("素-",第四週!$R$55),0)=1,"",第四週!$R$55),IF(OR(第四週!$R$56=0,IFERROR(FIND("素-",第四週!$R$56),0)=1),"",","),IF(IFERROR(FIND("素-",第四週!$R$56),0)=1,"",第四週!$R$56))</f>
        <v>翅小腿,滷包,青蔥,蒜仁</v>
      </c>
      <c r="F52" s="21" t="str">
        <f>_xlfn.CONCAT(IF(IFERROR(FIND("素-",第四週!$R$95),0)=1,"",第四週!$R$95),IF(OR(第四週!$R$96=0,IFERROR(FIND("素-",第四週!$R$96),0)=1),"",","),IF(IFERROR(FIND("素-",第四週!$R$96),0)=1,"",第四週!$R$96),IF(OR(第四週!$R$97=0,IFERROR(FIND("素-",第四週!$R$97),0)=1),"",","),IF(IFERROR(FIND("素-",第四週!$R$97),0)=1,"",第四週!$R$97),IF(OR(第四週!$R$98=0,IFERROR(FIND("素-",第四週!$R$98),0)=1),"",","),IF(IFERROR(FIND("素-",第四週!$R$98),0)=1,"",第四週!$R$98),IF(OR(第四週!$R$99=0,IFERROR(FIND("素-",第四週!$R$99),0)=1),"",","),IF(IFERROR(FIND("素-",第四週!$R$99),0)=1,"",第四週!$R$99),IF(OR(第四週!$R$100=0,IFERROR(FIND("素-",第四週!$R$100),0)=1),"",","),IF(IFERROR(FIND("素-",第四週!$R$100),0)=1,"",第四週!$R$100),IF(OR(第四週!$R$101=0,IFERROR(FIND("素-",第四週!$R$101),0)=1),"",","),IF(IFERROR(FIND("素-",第四週!$R$101),0)=1,"",第四週!$R$101))</f>
        <v/>
      </c>
      <c r="G52" s="21" t="str">
        <f>_xlfn.CONCAT(IF(IFERROR(FIND("素-",第四週!$R$110),0)=1,"",第四週!$R$110),IF(OR(第四週!$R$111=0,IFERROR(FIND("素-",第四週!$R$111),0)=1),"",","),IF(IFERROR(FIND("素-",第四週!$R$111),0)=1,"",第四週!$R$111),IF(OR(第四週!$R$112=0,IFERROR(FIND("素-",第四週!$R$112),0)=1),"",","),IF(IFERROR(FIND("素-",第四週!$R$112),0)=1,"",第四週!$R$112),IF(OR(第四週!$R$113=0,IFERROR(FIND("素-",第四週!$R$113),0)=1),"",","),IF(IFERROR(FIND("素-",第四週!$R$113),0)=1,"",第四週!$R$113),IF(OR(第四週!$R$114=0,IFERROR(FIND("素-",第四週!$R$114),0)=1),"",","),IF(IFERROR(FIND("素-",第四週!$R$114),0)=1,"",第四週!$R$114),IF(OR(第四週!$R$115=0,IFERROR(FIND("素-",第四週!$R$115),0)=1),"",","),IF(IFERROR(FIND("素-",第四週!$R$115),0)=1,"",第四週!$R$115),IF(OR(第四週!$R$116=0,IFERROR(FIND("素-",第四週!$R$116),0)=1),"",","),IF(IFERROR(FIND("素-",第四週!$R$116),0)=1,"",第四週!$R$116))</f>
        <v>洋芋,冷凍玉米粒,洋蔥,冷凍毛豆仁</v>
      </c>
      <c r="H52" s="21" t="str">
        <f>_xlfn.CONCAT(IF(IFERROR(FIND("素-",第四週!$R$200),0)=1,"",第四週!$R$200),IF(OR(第四週!$R$201=0,IFERROR(FIND("素-",第四週!$R$201),0)=1),"",","),IF(IFERROR(FIND("素-",第四週!$R$201),0)=1,"",第四週!$R$201),IF(OR(第四週!$R$202=0,IFERROR(FIND("素-",第四週!$R$202),0)=1),"",","),IF(IFERROR(FIND("素-",第四週!$R$202),0)=1,"",第四週!$R$202),IF(OR(第四週!$R$203=0,IFERROR(FIND("素-",第四週!$R$203),0)=1),"",","),IF(IFERROR(FIND("素-",第四週!$R$203),0)=1,"",第四週!$R$203),IF(OR(第四週!$R$204=0,IFERROR(FIND("素-",第四週!$R$204),0)=1),"",","),IF(IFERROR(FIND("素-",第四週!$R$204),0)=1,"",第四週!$R$204),IF(OR(第四週!$R$205=0,IFERROR(FIND("素-",第四週!$R$205),0)=1),"",","),IF(IFERROR(FIND("素-",第四週!$R$205),0)=1,"",第四週!$R$205),IF(OR(第四週!$R$206=0,IFERROR(FIND("素-",第四週!$R$206),0)=1),"",","),IF(IFERROR(FIND("素-",第四週!$R$206),0)=1,"",第四週!$R$206),IF(OR(第四週!$R$207=0,IFERROR(FIND("素-",第四週!$R$207),0)=1),"",","),IF(IFERROR(FIND("素-",第四週!$R$207),0)=1,"",第四週!$R$207))</f>
        <v>白蘿蔔,貢丸</v>
      </c>
      <c r="I52" s="474"/>
      <c r="J52" s="482"/>
      <c r="K52" s="482"/>
    </row>
    <row r="53" spans="1:11" ht="49.9" customHeight="1">
      <c r="A53" s="475">
        <f>IF(第四週!$V$2=0,"",第四週!$V$2)</f>
        <v>45470</v>
      </c>
      <c r="B53" s="477" t="s">
        <v>25</v>
      </c>
      <c r="C53" s="479" t="str">
        <f>IF(第四週!$V$4=0,"",第四週!$V$4)</f>
        <v>紫米飯</v>
      </c>
      <c r="D53" s="81" t="str">
        <f>IF(第四週!$V$34=0,"",第四週!$V$34)</f>
        <v>蔥爆肉片</v>
      </c>
      <c r="E53" s="81" t="str">
        <f>IF(第四週!$V$49=0,"",第四週!$V$49)</f>
        <v/>
      </c>
      <c r="F53" s="82" t="str">
        <f>IF(第四週!$V$95=0,"",第四週!$V$95)</f>
        <v>枸杞絲瓜</v>
      </c>
      <c r="G53" s="82" t="str">
        <f>IF(第四週!$V$110=0,"",第四週!$V$110)</f>
        <v>玉米絞肉</v>
      </c>
      <c r="H53" s="82" t="str">
        <f>IF(第四週!$V$200=0,"",第四週!$V$200)</f>
        <v>味噌蛋花湯</v>
      </c>
      <c r="I53" s="473" t="str">
        <f>IF(第四週!$V$185=0,"",第四週!$V$185)</f>
        <v>清炒時蔬</v>
      </c>
      <c r="J53" s="481" t="str">
        <f>IF(第四週!$V$215=0,"",第四週!$V$215)</f>
        <v>牛奶</v>
      </c>
      <c r="K53" s="481" t="str">
        <f>IF(第四週!$V$235=0,"",第四週!$V$235)</f>
        <v/>
      </c>
    </row>
    <row r="54" spans="1:11" s="22" customFormat="1" ht="25.15" customHeight="1">
      <c r="A54" s="476"/>
      <c r="B54" s="478"/>
      <c r="C54" s="480"/>
      <c r="D54" s="21" t="str">
        <f>_xlfn.CONCAT(IF(IFERROR(FIND("素-",第四週!$W$34),0)=1,"",第四週!$W$34),IF(OR(第四週!$W$35=0,IFERROR(FIND("素-",第四週!$W$35),0)=1),"",","),IF(IFERROR(FIND("素-",第四週!$W$35),0)=1,"",第四週!$W$35),IF(OR(第四週!$W$36=0,IFERROR(FIND("素-",第四週!$W$36),0)=1),"",","),IF(IFERROR(FIND("素-",第四週!$W$36),0)=1,"",第四週!$W$36),IF(OR(第四週!$W$37=0,IFERROR(FIND("素-",第四週!$W$37),0)=1),"",","),IF(IFERROR(FIND("素-",第四週!$W$37),0)=1,"",第四週!$W$37),IF(OR(第四週!$W$38=0,IFERROR(FIND("素-",第四週!$W$38),0)=1),"",","),IF(IFERROR(FIND("素-",第四週!$W$38),0)=1,"",第四週!$W$38),IF(OR(第四週!$W$39=0,IFERROR(FIND("素-",第四週!$W$39),0)=1),"",","),IF(IFERROR(FIND("素-",第四週!$W$39),0)=1,"",第四週!$W$39),IF(OR(第四週!$W$40=0,IFERROR(FIND("素-",第四週!$W$40),0)=1),"",","),IF(IFERROR(FIND("素-",第四週!$W$40),0)=1,"",第四週!$W$40),IF(OR(第四週!$W$41=0,IFERROR(FIND("素-",第四週!$W$41),0)=1),"",","),IF(IFERROR(FIND("素-",第四週!$W$41),0)=1,"",第四週!$W$41),IF(OR(第四週!$W$42=0,IFERROR(FIND("素-",第四週!$W$42),0)=1),"",","),IF(IFERROR(FIND("素-",第四週!$W$42),0)=1,"",第四週!$W$42))</f>
        <v>豬前腿肉,洋蔥,青椒,青蔥</v>
      </c>
      <c r="E54" s="21" t="str">
        <f>_xlfn.CONCAT(IF(IFERROR(FIND("素-",第四週!$W$49),0)=1,"",第四週!$W$49),IF(OR(第四週!$W$50=0,IFERROR(FIND("素-",第四週!$W$50),0)=1),"",","),IF(IFERROR(FIND("素-",第四週!$W$50),0)=1,"",第四週!$W$50),IF(OR(第四週!$W$51=0,IFERROR(FIND("素-",第四週!$W$51),0)=1),"",","),IF(IFERROR(FIND("素-",第四週!$W$51),0)=1,"",第四週!$W$51),IF(OR(第四週!$W$53=0,IFERROR(FIND("素-",第四週!$W$53),0)=1),"",","),IF(IFERROR(FIND("素-",第四週!$W$53),0)=1,"",第四週!$W$53),IF(OR(第四週!$W$54=0,IFERROR(FIND("素-",第四週!$W$54),0)=1),"",","),IF(IFERROR(FIND("素-",第四週!$W$54),0)=1,"",第四週!$W$54),IF(OR(第四週!$W$55=0,IFERROR(FIND("素-",第四週!$W$55),0)=1),"",","),IF(IFERROR(FIND("素-",第四週!$W$55),0)=1,"",第四週!$W$55),IF(OR(第四週!$W$56=0,IFERROR(FIND("素-",第四週!$W$56),0)=1),"",","),IF(IFERROR(FIND("素-",第四週!$W$56),0)=1,"",第四週!$W$56))</f>
        <v/>
      </c>
      <c r="F54" s="21" t="str">
        <f>_xlfn.CONCAT(IF(IFERROR(FIND("素-",第四週!$W$95),0)=1,"",第四週!$W$95),IF(OR(第四週!$W$96=0,IFERROR(FIND("素-",第四週!$W$96),0)=1),"",","),IF(IFERROR(FIND("素-",第四週!$W$96),0)=1,"",第四週!$W$96),IF(OR(第四週!$W$97=0,IFERROR(FIND("素-",第四週!$W$97),0)=1),"",","),IF(IFERROR(FIND("素-",第四週!$W$97),0)=1,"",第四週!$W$97),IF(OR(第四週!$W$98=0,IFERROR(FIND("素-",第四週!$W$98),0)=1),"",","),IF(IFERROR(FIND("素-",第四週!$W$98),0)=1,"",第四週!$W$98),IF(OR(第四週!$W$99=0,IFERROR(FIND("素-",第四週!$W$99),0)=1),"",","),IF(IFERROR(FIND("素-",第四週!$W$99),0)=1,"",第四週!$W$99),IF(OR(第四週!$W$100=0,IFERROR(FIND("素-",第四週!$W$100),0)=1),"",","),IF(IFERROR(FIND("素-",第四週!$W$100),0)=1,"",第四週!$W$100),IF(OR(第四週!$W$101=0,IFERROR(FIND("素-",第四週!$W$101),0)=1),"",","),IF(IFERROR(FIND("素-",第四週!$W$101),0)=1,"",第四週!$W$101))</f>
        <v>絲瓜,金針菇,嫩薑,枸杞,魚板</v>
      </c>
      <c r="G54" s="21" t="str">
        <f>_xlfn.CONCAT(IF(IFERROR(FIND("素-",第四週!$W$110),0)=1,"",第四週!$W$110),IF(OR(第四週!$W$111=0,IFERROR(FIND("素-",第四週!$W$111),0)=1),"",","),IF(IFERROR(FIND("素-",第四週!$W$111),0)=1,"",第四週!$W$111),IF(OR(第四週!$W$112=0,IFERROR(FIND("素-",第四週!$W$112),0)=1),"",","),IF(IFERROR(FIND("素-",第四週!$W$112),0)=1,"",第四週!$W$112),IF(OR(第四週!$W$113=0,IFERROR(FIND("素-",第四週!$W$113),0)=1),"",","),IF(IFERROR(FIND("素-",第四週!$W$113),0)=1,"",第四週!$W$113),IF(OR(第四週!$W$114=0,IFERROR(FIND("素-",第四週!$W$114),0)=1),"",","),IF(IFERROR(FIND("素-",第四週!$W$114),0)=1,"",第四週!$W$114),IF(OR(第四週!$W$115=0,IFERROR(FIND("素-",第四週!$W$115),0)=1),"",","),IF(IFERROR(FIND("素-",第四週!$W$115),0)=1,"",第四週!$W$115),IF(OR(第四週!$W$116=0,IFERROR(FIND("素-",第四週!$W$116),0)=1),"",","),IF(IFERROR(FIND("素-",第四週!$W$116),0)=1,"",第四週!$W$116))</f>
        <v>冷凍玉米粒,豬絞肉,豆薯</v>
      </c>
      <c r="H54" s="21" t="str">
        <f>_xlfn.CONCAT(IF(IFERROR(FIND("素-",第四週!$W$200),0)=1,"",第四週!$W$200),IF(OR(第四週!$W$201=0,IFERROR(FIND("素-",第四週!$W$201),0)=1),"",","),IF(IFERROR(FIND("素-",第四週!$W$201),0)=1,"",第四週!$W$201),IF(OR(第四週!$W$202=0,IFERROR(FIND("素-",第四週!$W$202),0)=1),"",","),IF(IFERROR(FIND("素-",第四週!$W$202),0)=1,"",第四週!$W$202),IF(OR(第四週!$W$203=0,IFERROR(FIND("素-",第四週!$W$203),0)=1),"",","),IF(IFERROR(FIND("素-",第四週!$W$203),0)=1,"",第四週!$W$203),IF(OR(第四週!$W$204=0,IFERROR(FIND("素-",第四週!$W$204),0)=1),"",","),IF(IFERROR(FIND("素-",第四週!$W$204),0)=1,"",第四週!$W$204),IF(OR(第四週!$W$205=0,IFERROR(FIND("素-",第四週!$W$205),0)=1),"",","),IF(IFERROR(FIND("素-",第四週!$W$205),0)=1,"",第四週!$W$205),IF(OR(第四週!$W$206=0,IFERROR(FIND("素-",第四週!$W$206),0)=1),"",","),IF(IFERROR(FIND("素-",第四週!$W$206),0)=1,"",第四週!$W$206),IF(OR(第四週!$W$207=0,IFERROR(FIND("素-",第四週!$W$207),0)=1),"",","),IF(IFERROR(FIND("素-",第四週!$W$207),0)=1,"",第四週!$W$207))</f>
        <v>板豆腐,雞蛋,味噌,柴魚片</v>
      </c>
      <c r="I54" s="474"/>
      <c r="J54" s="482"/>
      <c r="K54" s="482"/>
    </row>
    <row r="55" spans="1:11" ht="49.9" customHeight="1">
      <c r="A55" s="475">
        <f>IF(第四週!$AA$2=0,"",第四週!$AA$2)</f>
        <v>45471</v>
      </c>
      <c r="B55" s="477" t="s">
        <v>37</v>
      </c>
      <c r="C55" s="479" t="str">
        <f>IF(第四週!$AA$4=0,"",第四週!$AA$4)</f>
        <v>白飯</v>
      </c>
      <c r="D55" s="81" t="str">
        <f>IF(第四週!$AA$34=0,"",第四週!$AA$34)</f>
        <v>滷排骨</v>
      </c>
      <c r="E55" s="81" t="str">
        <f>IF(第四週!$AA$49=0,"",第四週!$AA$49)</f>
        <v/>
      </c>
      <c r="F55" s="82" t="str">
        <f>IF(第四週!$AA$95=0,"",第四週!$AA$95)</f>
        <v>家常豆腐</v>
      </c>
      <c r="G55" s="82" t="str">
        <f>IF(第四週!$AA$110=0,"",第四週!$AA$110)</f>
        <v>雙菇玉米筍</v>
      </c>
      <c r="H55" s="82" t="str">
        <f>IF(第四週!$AA$200=0,"",第四週!$AA$200)</f>
        <v>決明大麥珍珠</v>
      </c>
      <c r="I55" s="473" t="str">
        <f>IF(第四週!$AA$185=0,"",第四週!$AA$185)</f>
        <v>清炒時蔬</v>
      </c>
      <c r="J55" s="481" t="str">
        <f>IF(第四週!$AA$215=0,"",第四週!$AA$215)</f>
        <v>水果</v>
      </c>
      <c r="K55" s="481" t="str">
        <f>IF(第四週!$AA$235=0,"",第四週!$AA$235)</f>
        <v/>
      </c>
    </row>
    <row r="56" spans="1:11" s="22" customFormat="1" ht="25.15" customHeight="1">
      <c r="A56" s="476"/>
      <c r="B56" s="478"/>
      <c r="C56" s="480"/>
      <c r="D56" s="21" t="e">
        <f>_xlfn.CONCAT(IF(IFERROR(FIND("素-",第四週!#REF!),0)=1,"",第四週!#REF!),IF(OR(第四週!$AB$34=0,IFERROR(FIND("素-",第四週!$AB$34),0)=1),"",","),IF(IFERROR(FIND("素-",第四週!$AB$34),0)=1,"",第四週!$AB$34),IF(OR(第四週!$AB$35=0,IFERROR(FIND("素-",第四週!$AB$35),0)=1),"",","),IF(IFERROR(FIND("素-",第四週!$AB$35),0)=1,"",第四週!$AB$35),IF(OR(第四週!$AB$37=0,IFERROR(FIND("素-",第四週!$AB$37),0)=1),"",","),IF(IFERROR(FIND("素-",第四週!$AB$37),0)=1,"",第四週!$AB$37),IF(OR(第四週!$AB$38=0,IFERROR(FIND("素-",第四週!$AB$38),0)=1),"",","),IF(IFERROR(FIND("素-",第四週!$AB$38),0)=1,"",第四週!$AB$38),IF(OR(第四週!$AB$39=0,IFERROR(FIND("素-",第四週!$AB$39),0)=1),"",","),IF(IFERROR(FIND("素-",第四週!$AB$39),0)=1,"",第四週!$AB$39),IF(OR(第四週!$AB$40=0,IFERROR(FIND("素-",第四週!$AB$40),0)=1),"",","),IF(IFERROR(FIND("素-",第四週!$AB$40),0)=1,"",第四週!$AB$40),IF(OR(第四週!$AB$41=0,IFERROR(FIND("素-",第四週!$AB$41),0)=1),"",","),IF(IFERROR(FIND("素-",第四週!$AB$41),0)=1,"",第四週!$AB$41),IF(OR(第四週!$AB$42=0,IFERROR(FIND("素-",第四週!$AB$42),0)=1),"",","),IF(IFERROR(FIND("素-",第四週!$AB$42),0)=1,"",第四週!$AB$42))</f>
        <v>#REF!</v>
      </c>
      <c r="E56" s="21" t="str">
        <f>_xlfn.CONCAT(IF(IFERROR(FIND("素-",第四週!$AB$49),0)=1,"",第四週!$AB$49),IF(OR(第四週!$AB$50=0,IFERROR(FIND("素-",第四週!$AB$50),0)=1),"",","),IF(IFERROR(FIND("素-",第四週!$AB$50),0)=1,"",第四週!$AB$50),IF(OR(第四週!$AB$51=0,IFERROR(FIND("素-",第四週!$AB$51),0)=1),"",","),IF(IFERROR(FIND("素-",第四週!$AB$51),0)=1,"",第四週!$AB$51),IF(OR(第四週!$AB$53=0,IFERROR(FIND("素-",第四週!$AB$53),0)=1),"",","),IF(IFERROR(FIND("素-",第四週!$AB$53),0)=1,"",第四週!$AB$53),IF(OR(第四週!$AB$54=0,IFERROR(FIND("素-",第四週!$AB$54),0)=1),"",","),IF(IFERROR(FIND("素-",第四週!$AB$54),0)=1,"",第四週!$AB$54),IF(OR(第四週!$AB$55=0,IFERROR(FIND("素-",第四週!$AB$55),0)=1),"",","),IF(IFERROR(FIND("素-",第四週!$AB$55),0)=1,"",第四週!$AB$55),IF(OR(第四週!$AB$56=0,IFERROR(FIND("素-",第四週!$AB$56),0)=1),"",","),IF(IFERROR(FIND("素-",第四週!$AB$56),0)=1,"",第四週!$AB$56))</f>
        <v/>
      </c>
      <c r="F56" s="21" t="str">
        <f>_xlfn.CONCAT(IF(IFERROR(FIND("素-",第四週!$AB$95),0)=1,"",第四週!$AB$95),IF(OR(第四週!$AB$96=0,IFERROR(FIND("素-",第四週!$AB$96),0)=1),"",","),IF(IFERROR(FIND("素-",第四週!$AB$96),0)=1,"",第四週!$AB$96),IF(OR(第四週!$AB$97=0,IFERROR(FIND("素-",第四週!$AB$97),0)=1),"",","),IF(IFERROR(FIND("素-",第四週!$AB$97),0)=1,"",第四週!$AB$97),IF(OR(第四週!$AB$98=0,IFERROR(FIND("素-",第四週!$AB$98),0)=1),"",","),IF(IFERROR(FIND("素-",第四週!$AB$98),0)=1,"",第四週!$AB$98),IF(OR(第四週!$AB$99=0,IFERROR(FIND("素-",第四週!$AB$99),0)=1),"",","),IF(IFERROR(FIND("素-",第四週!$AB$99),0)=1,"",第四週!$AB$99),IF(OR(第四週!$AB$100=0,IFERROR(FIND("素-",第四週!$AB$100),0)=1),"",","),IF(IFERROR(FIND("素-",第四週!$AB$100),0)=1,"",第四週!$AB$100),IF(OR(第四週!$AB$101=0,IFERROR(FIND("素-",第四週!$AB$101),0)=1),"",","),IF(IFERROR(FIND("素-",第四週!$AB$101),0)=1,"",第四週!$AB$101))</f>
        <v>板豆腐,豬絞肉,胡蘿蔔</v>
      </c>
      <c r="G56" s="21" t="str">
        <f>_xlfn.CONCAT(IF(IFERROR(FIND("素-",第四週!$AB$110),0)=1,"",第四週!$AB$110),IF(OR(第四週!$AB$111=0,IFERROR(FIND("素-",第四週!$AB$111),0)=1),"",","),IF(IFERROR(FIND("素-",第四週!$AB$111),0)=1,"",第四週!$AB$111),IF(OR(第四週!$AB$112=0,IFERROR(FIND("素-",第四週!$AB$112),0)=1),"",","),IF(IFERROR(FIND("素-",第四週!$AB$112),0)=1,"",第四週!$AB$112),IF(OR(第四週!$AB$113=0,IFERROR(FIND("素-",第四週!$AB$113),0)=1),"",","),IF(IFERROR(FIND("素-",第四週!$AB$113),0)=1,"",第四週!$AB$113),IF(OR(第四週!$AB$114=0,IFERROR(FIND("素-",第四週!$AB$114),0)=1),"",","),IF(IFERROR(FIND("素-",第四週!$AB$114),0)=1,"",第四週!$AB$114),IF(OR(第四週!$AB$115=0,IFERROR(FIND("素-",第四週!$AB$115),0)=1),"",","),IF(IFERROR(FIND("素-",第四週!$AB$115),0)=1,"",第四週!$AB$115),IF(OR(第四週!$AB$116=0,IFERROR(FIND("素-",第四週!$AB$116),0)=1),"",","),IF(IFERROR(FIND("素-",第四週!$AB$116),0)=1,"",第四週!$AB$116))</f>
        <v>玉米筍,胡蘿蔔,木耳,金針菇,鴻喜菇</v>
      </c>
      <c r="H56" s="21" t="str">
        <f>_xlfn.CONCAT(IF(IFERROR(FIND("素-",第四週!$AB$200),0)=1,"",第四週!$AB$200),IF(OR(第四週!$AB$201=0,IFERROR(FIND("素-",第四週!$AB$201),0)=1),"",","),IF(IFERROR(FIND("素-",第四週!$AB$201),0)=1,"",第四週!$AB$201),IF(OR(第四週!$AB$202=0,IFERROR(FIND("素-",第四週!$AB$202),0)=1),"",","),IF(IFERROR(FIND("素-",第四週!$AB$202),0)=1,"",第四週!$AB$202),IF(OR(第四週!$AB$203=0,IFERROR(FIND("素-",第四週!$AB$203),0)=1),"",","),IF(IFERROR(FIND("素-",第四週!$AB$203),0)=1,"",第四週!$AB$203),IF(OR(第四週!$AB$204=0,IFERROR(FIND("素-",第四週!$AB$204),0)=1),"",","),IF(IFERROR(FIND("素-",第四週!$AB$204),0)=1,"",第四週!$AB$204),IF(OR(第四週!$AB$205=0,IFERROR(FIND("素-",第四週!$AB$205),0)=1),"",","),IF(IFERROR(FIND("素-",第四週!$AB$205),0)=1,"",第四週!$AB$205),IF(OR(第四週!$AB$206=0,IFERROR(FIND("素-",第四週!$AB$206),0)=1),"",","),IF(IFERROR(FIND("素-",第四週!$AB$206),0)=1,"",第四週!$AB$206),IF(OR(第四週!$AB$207=0,IFERROR(FIND("素-",第四週!$AB$207),0)=1),"",","),IF(IFERROR(FIND("素-",第四週!$AB$207),0)=1,"",第四週!$AB$207))</f>
        <v>決明子,麥茶包,珍珠,二砂糖</v>
      </c>
      <c r="I56" s="474"/>
      <c r="J56" s="482"/>
      <c r="K56" s="482"/>
    </row>
    <row r="57" spans="1:11" ht="49.9" hidden="1" customHeight="1">
      <c r="A57" s="475" t="str">
        <f>IF(第四週!$AF$2=0,"",第四週!$AF$2)</f>
        <v/>
      </c>
      <c r="B57" s="477" t="s">
        <v>38</v>
      </c>
      <c r="C57" s="479" t="str">
        <f>IF(第四週!$AF$4=0,"",第四週!$AF$4)</f>
        <v/>
      </c>
      <c r="D57" s="81" t="str">
        <f>IF(第四週!$AF$34=0,"",第四週!$AF$34)</f>
        <v/>
      </c>
      <c r="E57" s="81" t="str">
        <f>IF(第四週!$AF$49=0,"",第四週!$AF$49)</f>
        <v/>
      </c>
      <c r="F57" s="82" t="str">
        <f>IF(第四週!$AF$95=0,"",第四週!$AF$95)</f>
        <v/>
      </c>
      <c r="G57" s="82" t="str">
        <f>IF(第四週!$AF$110=0,"",第四週!$AF$110)</f>
        <v/>
      </c>
      <c r="H57" s="82" t="str">
        <f>IF(第四週!$AF$200=0,"",第四週!$AF$200)</f>
        <v/>
      </c>
      <c r="I57" s="473" t="str">
        <f>IF(第四週!$AF$185=0,"",第四週!$AF$185)</f>
        <v/>
      </c>
      <c r="J57" s="481" t="str">
        <f>IF(第四週!$AF$215=0,"",第四週!$AF$215)</f>
        <v/>
      </c>
      <c r="K57" s="481" t="str">
        <f>IF(第四週!$AF$235=0,"",第四週!$AF$235)</f>
        <v/>
      </c>
    </row>
    <row r="58" spans="1:11" s="22" customFormat="1" ht="25.15" hidden="1" customHeight="1">
      <c r="A58" s="476"/>
      <c r="B58" s="478"/>
      <c r="C58" s="480"/>
      <c r="D58" s="21" t="str">
        <f>_xlfn.CONCAT(IF(IFERROR(FIND("素-",第四週!$AG$34),0)=1,"",第四週!$AG$34),IF(OR(第四週!$AG$35=0,IFERROR(FIND("素-",第四週!$AG$35),0)=1),"",","),IF(IFERROR(FIND("素-",第四週!$AG$35),0)=1,"",第四週!$AG$35),IF(OR(第四週!$AG$36=0,IFERROR(FIND("素-",第四週!$AG$36),0)=1),"",","),IF(IFERROR(FIND("素-",第四週!$AG$36),0)=1,"",第四週!$AG$36),IF(OR(第四週!$AG$37=0,IFERROR(FIND("素-",第四週!$AG$37),0)=1),"",","),IF(IFERROR(FIND("素-",第四週!$AG$37),0)=1,"",第四週!$AG$37),IF(OR(第四週!$AG$38=0,IFERROR(FIND("素-",第四週!$AG$38),0)=1),"",","),IF(IFERROR(FIND("素-",第四週!$AG$38),0)=1,"",第四週!$AG$38),IF(OR(第四週!$AG$39=0,IFERROR(FIND("素-",第四週!$AG$39),0)=1),"",","),IF(IFERROR(FIND("素-",第四週!$AG$39),0)=1,"",第四週!$AG$39),IF(OR(第四週!$AG$40=0,IFERROR(FIND("素-",第四週!$AG$40),0)=1),"",","),IF(IFERROR(FIND("素-",第四週!$AG$40),0)=1,"",第四週!$AG$40),IF(OR(第四週!$AG$41=0,IFERROR(FIND("素-",第四週!$AG$41),0)=1),"",","),IF(IFERROR(FIND("素-",第四週!$AG$41),0)=1,"",第四週!$AG$41),IF(OR(第四週!$AG$42=0,IFERROR(FIND("素-",第四週!$AG$42),0)=1),"",","),IF(IFERROR(FIND("素-",第四週!$AG$42),0)=1,"",第四週!$AG$42))</f>
        <v/>
      </c>
      <c r="E58" s="21" t="str">
        <f>_xlfn.CONCAT(IF(IFERROR(FIND("素-",第四週!$AG$49),0)=1,"",第四週!$AG$49),IF(OR(第四週!$AG$50=0,IFERROR(FIND("素-",第四週!$AG$50),0)=1),"",","),IF(IFERROR(FIND("素-",第四週!$AG$50),0)=1,"",第四週!$AG$50),IF(OR(第四週!$AG$51=0,IFERROR(FIND("素-",第四週!$AG$51),0)=1),"",","),IF(IFERROR(FIND("素-",第四週!$AG$51),0)=1,"",第四週!$AG$51),IF(OR(第四週!$AG$53=0,IFERROR(FIND("素-",第四週!$AG$53),0)=1),"",","),IF(IFERROR(FIND("素-",第四週!$AG$53),0)=1,"",第四週!$AG$53),IF(OR(第四週!$AG$54=0,IFERROR(FIND("素-",第四週!$AG$54),0)=1),"",","),IF(IFERROR(FIND("素-",第四週!$AG$54),0)=1,"",第四週!$AG$54),IF(OR(第四週!$AG$55=0,IFERROR(FIND("素-",第四週!$AG$55),0)=1),"",","),IF(IFERROR(FIND("素-",第四週!$AG$55),0)=1,"",第四週!$AG$55),IF(OR(第四週!$AG$56=0,IFERROR(FIND("素-",第四週!$AG$56),0)=1),"",","),IF(IFERROR(FIND("素-",第四週!$AG$56),0)=1,"",第四週!$AG$56))</f>
        <v/>
      </c>
      <c r="F58" s="21" t="str">
        <f>_xlfn.CONCAT(IF(IFERROR(FIND("素-",第四週!$AG$95),0)=1,"",第四週!$AG$95),IF(OR(第四週!$AG$96=0,IFERROR(FIND("素-",第四週!$AG$96),0)=1),"",","),IF(IFERROR(FIND("素-",第四週!$AG$96),0)=1,"",第四週!$AG$96),IF(OR(第四週!$AG$97=0,IFERROR(FIND("素-",第四週!$AG$97),0)=1),"",","),IF(IFERROR(FIND("素-",第四週!$AG$97),0)=1,"",第四週!$AG$97),IF(OR(第四週!$AG$98=0,IFERROR(FIND("素-",第四週!$AG$98),0)=1),"",","),IF(IFERROR(FIND("素-",第四週!$AG$98),0)=1,"",第四週!$AG$98),IF(OR(第四週!$AG$99=0,IFERROR(FIND("素-",第四週!$AG$99),0)=1),"",","),IF(IFERROR(FIND("素-",第四週!$AG$99),0)=1,"",第四週!$AG$99),IF(OR(第四週!$AG$100=0,IFERROR(FIND("素-",第四週!$AG$100),0)=1),"",","),IF(IFERROR(FIND("素-",第四週!$AG$100),0)=1,"",第四週!$AG$100),IF(OR(第四週!$AG$101=0,IFERROR(FIND("素-",第四週!$AG$101),0)=1),"",","),IF(IFERROR(FIND("素-",第四週!$AG$101),0)=1,"",第四週!$AG$101))</f>
        <v/>
      </c>
      <c r="G58" s="21" t="str">
        <f>_xlfn.CONCAT(IF(IFERROR(FIND("素-",第四週!$AG$110),0)=1,"",第四週!$AG$110),IF(OR(第四週!$AG$111=0,IFERROR(FIND("素-",第四週!$AG$111),0)=1),"",","),IF(IFERROR(FIND("素-",第四週!$AG$111),0)=1,"",第四週!$AG$111),IF(OR(第四週!$AG$112=0,IFERROR(FIND("素-",第四週!$AG$112),0)=1),"",","),IF(IFERROR(FIND("素-",第四週!$AG$112),0)=1,"",第四週!$AG$112),IF(OR(第四週!$AG$113=0,IFERROR(FIND("素-",第四週!$AG$113),0)=1),"",","),IF(IFERROR(FIND("素-",第四週!$AG$113),0)=1,"",第四週!$AG$113),IF(OR(第四週!$AG$114=0,IFERROR(FIND("素-",第四週!$AG$114),0)=1),"",","),IF(IFERROR(FIND("素-",第四週!$AG$114),0)=1,"",第四週!$AG$114),IF(OR(第四週!$AG$115=0,IFERROR(FIND("素-",第四週!$AG$115),0)=1),"",","),IF(IFERROR(FIND("素-",第四週!$AG$115),0)=1,"",第四週!$AG$115),IF(OR(第四週!$AG$116=0,IFERROR(FIND("素-",第四週!$AG$116),0)=1),"",","),IF(IFERROR(FIND("素-",第四週!$AG$116),0)=1,"",第四週!$AG$116))</f>
        <v/>
      </c>
      <c r="H58" s="21" t="str">
        <f>_xlfn.CONCAT(IF(IFERROR(FIND("素-",第四週!$AG$200),0)=1,"",第四週!$AG$200),IF(OR(第四週!$AG$201=0,IFERROR(FIND("素-",第四週!$AG$201),0)=1),"",","),IF(IFERROR(FIND("素-",第四週!$AG$201),0)=1,"",第四週!$AG$201),IF(OR(第四週!$AG$202=0,IFERROR(FIND("素-",第四週!$AG$202),0)=1),"",","),IF(IFERROR(FIND("素-",第四週!$AG$202),0)=1,"",第四週!$AG$202),IF(OR(第四週!$AG$203=0,IFERROR(FIND("素-",第四週!$AG$203),0)=1),"",","),IF(IFERROR(FIND("素-",第四週!$AG$203),0)=1,"",第四週!$AG$203),IF(OR(第四週!$AG$204=0,IFERROR(FIND("素-",第四週!$AG$204),0)=1),"",","),IF(IFERROR(FIND("素-",第四週!$AG$204),0)=1,"",第四週!$AG$204),IF(OR(第四週!$AG$205=0,IFERROR(FIND("素-",第四週!$AG$205),0)=1),"",","),IF(IFERROR(FIND("素-",第四週!$AG$205),0)=1,"",第四週!$AG$205),IF(OR(第四週!$AG$206=0,IFERROR(FIND("素-",第四週!$AG$206),0)=1),"",","),IF(IFERROR(FIND("素-",第四週!$AG$206),0)=1,"",第四週!$AG$206),IF(OR(第四週!$AG$207=0,IFERROR(FIND("素-",第四週!$AG$207),0)=1),"",","),IF(IFERROR(FIND("素-",第四週!$AG$207),0)=1,"",第四週!$AG$207))</f>
        <v/>
      </c>
      <c r="I58" s="474"/>
      <c r="J58" s="482"/>
      <c r="K58" s="482"/>
    </row>
    <row r="59" spans="1:11" ht="49.9" hidden="1" customHeight="1">
      <c r="A59" s="475"/>
      <c r="B59" s="477" t="s">
        <v>39</v>
      </c>
      <c r="C59" s="479"/>
      <c r="D59" s="81"/>
      <c r="E59" s="81"/>
      <c r="F59" s="81"/>
      <c r="G59" s="84"/>
      <c r="H59" s="84"/>
      <c r="I59" s="473"/>
      <c r="J59" s="481"/>
      <c r="K59" s="481"/>
    </row>
    <row r="60" spans="1:11" s="22" customFormat="1" ht="25.15" hidden="1" customHeight="1">
      <c r="A60" s="476"/>
      <c r="B60" s="478"/>
      <c r="C60" s="480"/>
      <c r="D60" s="21"/>
      <c r="E60" s="21"/>
      <c r="F60" s="21"/>
      <c r="G60" s="21"/>
      <c r="H60" s="21"/>
      <c r="I60" s="474"/>
      <c r="J60" s="482"/>
      <c r="K60" s="482"/>
    </row>
    <row r="61" spans="1:11" ht="49.9" hidden="1" customHeight="1">
      <c r="A61" s="475">
        <f>IF(第五週!$G$2=0,"",第五週!$G$2)</f>
        <v>45474</v>
      </c>
      <c r="B61" s="477" t="s">
        <v>22</v>
      </c>
      <c r="C61" s="479" t="str">
        <f>IF(第五週!$G$4=0,"",第五週!$G$4)</f>
        <v/>
      </c>
      <c r="D61" s="81" t="str">
        <f>IF(第五週!$G$34=0,"",第五週!$G$34)</f>
        <v/>
      </c>
      <c r="E61" s="81" t="str">
        <f>IF(第五週!$G$49=0,"",第五週!$G$49)</f>
        <v/>
      </c>
      <c r="F61" s="82" t="str">
        <f>IF(第五週!$G$94=0,"",第五週!$G$94)</f>
        <v/>
      </c>
      <c r="G61" s="82" t="str">
        <f>IF(第五週!$G$109=0,"",第五週!$G$109)</f>
        <v/>
      </c>
      <c r="H61" s="82" t="str">
        <f>IF(第五週!$G$199=0,"",第五週!$G$199)</f>
        <v/>
      </c>
      <c r="I61" s="473" t="str">
        <f>IF(第五週!$G$184=0,"",第五週!$G$184)</f>
        <v/>
      </c>
      <c r="J61" s="481" t="str">
        <f>IF(第五週!$G$214=0,"",第五週!$G$214)</f>
        <v>果汁</v>
      </c>
      <c r="K61" s="481" t="str">
        <f>IF(第五週!$G$234=0,"",第五週!$G$234)</f>
        <v/>
      </c>
    </row>
    <row r="62" spans="1:11" s="22" customFormat="1" ht="25.15" hidden="1" customHeight="1">
      <c r="A62" s="476"/>
      <c r="B62" s="478"/>
      <c r="C62" s="480"/>
      <c r="D62" s="21" t="str">
        <f>_xlfn.CONCAT(IF(IFERROR(FIND("素-",第五週!$H$34),0)=1,"",第五週!$H$34),IF(OR(第五週!$H$35=0,IFERROR(FIND("素-",第五週!$H$35),0)=1),"",","),IF(IFERROR(FIND("素-",第五週!$H$35),0)=1,"",第五週!$H$35),IF(OR(第五週!$H$36=0,IFERROR(FIND("素-",第五週!$H$36),0)=1),"",","),IF(IFERROR(FIND("素-",第五週!$H$36),0)=1,"",第五週!$H$36),IF(OR(第五週!$H$37=0,IFERROR(FIND("素-",第五週!$H$37),0)=1),"",","),IF(IFERROR(FIND("素-",第五週!$H$37),0)=1,"",第五週!$H$37),IF(OR(第五週!$H$38=0,IFERROR(FIND("素-",第五週!$H$38),0)=1),"",","),IF(IFERROR(FIND("素-",第五週!$H$38),0)=1,"",第五週!$H$38),IF(OR(第五週!$H$39=0,IFERROR(FIND("素-",第五週!$H$39),0)=1),"",","),IF(IFERROR(FIND("素-",第五週!$H$39),0)=1,"",第五週!$H$39),IF(OR(第五週!$H$40=0,IFERROR(FIND("素-",第五週!$H$40),0)=1),"",","),IF(IFERROR(FIND("素-",第五週!$H$40),0)=1,"",第五週!$H$40),IF(OR(第五週!$H$41=0,IFERROR(FIND("素-",第五週!$H$41),0)=1),"",","),IF(IFERROR(FIND("素-",第五週!$H$41),0)=1,"",第五週!$H$41),IF(OR(第五週!$H$42=0,IFERROR(FIND("素-",第五週!$H$42),0)=1),"",","),IF(IFERROR(FIND("素-",第五週!$H$42),0)=1,"",第五週!$H$42))</f>
        <v/>
      </c>
      <c r="E62" s="21" t="str">
        <f>_xlfn.CONCAT(IF(IFERROR(FIND("素-",第五週!$H$49),0)=1,"",第五週!$H$49),IF(OR(第五週!$H$50=0,IFERROR(FIND("素-",第五週!$H$50),0)=1),"",","),IF(IFERROR(FIND("素-",第五週!$H$50),0)=1,"",第五週!$H$50),IF(OR(第五週!$H$51=0,IFERROR(FIND("素-",第五週!$H$51),0)=1),"",","),IF(IFERROR(FIND("素-",第五週!$H$51),0)=1,"",第五週!$H$51),IF(OR(第五週!$H$52=0,IFERROR(FIND("素-",第五週!$H$52),0)=1),"",","),IF(IFERROR(FIND("素-",第五週!$H$52),0)=1,"",第五週!$H$52),IF(OR(第五週!$H$53=0,IFERROR(FIND("素-",第五週!$H$53),0)=1),"",","),IF(IFERROR(FIND("素-",第五週!$H$53),0)=1,"",第五週!$H$53),IF(OR(第五週!$H$54=0,IFERROR(FIND("素-",第五週!$H$54),0)=1),"",","),IF(IFERROR(FIND("素-",第五週!$H$54),0)=1,"",第五週!$H$54),IF(OR(第五週!$H$55=0,IFERROR(FIND("素-",第五週!$H$55),0)=1),"",","),IF(IFERROR(FIND("素-",第五週!$H$55),0)=1,"",第五週!$H$55))</f>
        <v/>
      </c>
      <c r="F62" s="21" t="str">
        <f>_xlfn.CONCAT(IF(IFERROR(FIND("素-",第五週!$H$94),0)=1,"",第五週!$H$94),IF(OR(第五週!$H$95=0,IFERROR(FIND("素-",第五週!$H$95),0)=1),"",","),IF(IFERROR(FIND("素-",第五週!$H$95),0)=1,"",第五週!$H$95),IF(OR(第五週!$H$96=0,IFERROR(FIND("素-",第五週!$H$96),0)=1),"",","),IF(IFERROR(FIND("素-",第五週!$H$96),0)=1,"",第五週!$H$96),IF(OR(第五週!$H$97=0,IFERROR(FIND("素-",第五週!$H$97),0)=1),"",","),IF(IFERROR(FIND("素-",第五週!$H$97),0)=1,"",第五週!$H$97),IF(OR(第五週!$H$98=0,IFERROR(FIND("素-",第五週!$H$98),0)=1),"",","),IF(IFERROR(FIND("素-",第五週!$H$98),0)=1,"",第五週!$H$98),IF(OR(第五週!$H$99=0,IFERROR(FIND("素-",第五週!$H$99),0)=1),"",","),IF(IFERROR(FIND("素-",第五週!$H$99),0)=1,"",第五週!$H$99),IF(OR(第五週!$H$100=0,IFERROR(FIND("素-",第五週!$H$100),0)=1),"",","),IF(IFERROR(FIND("素-",第五週!$H$100),0)=1,"",第五週!$H$100))</f>
        <v/>
      </c>
      <c r="G62" s="21" t="str">
        <f>_xlfn.CONCAT(IF(IFERROR(FIND("素-",第五週!$H$109),0)=1,"",第五週!$H$109),IF(OR(第五週!$H$110=0,IFERROR(FIND("素-",第五週!$H$110),0)=1),"",","),IF(IFERROR(FIND("素-",第五週!$H$110),0)=1,"",第五週!$H$110),IF(OR(第五週!$H$111=0,IFERROR(FIND("素-",第五週!$H$111),0)=1),"",","),IF(IFERROR(FIND("素-",第五週!$H$111),0)=1,"",第五週!$H$111),IF(OR(第五週!$H$112=0,IFERROR(FIND("素-",第五週!$H$112),0)=1),"",","),IF(IFERROR(FIND("素-",第五週!$H$112),0)=1,"",第五週!$H$112),IF(OR(第五週!$H$113=0,IFERROR(FIND("素-",第五週!$H$113),0)=1),"",","),IF(IFERROR(FIND("素-",第五週!$H$113),0)=1,"",第五週!$H$113),IF(OR(第五週!$H$114=0,IFERROR(FIND("素-",第五週!$H$114),0)=1),"",","),IF(IFERROR(FIND("素-",第五週!$H$114),0)=1,"",第五週!$H$114),IF(OR(第五週!$H$115=0,IFERROR(FIND("素-",第五週!$H$115),0)=1),"",","),IF(IFERROR(FIND("素-",第五週!$H$115),0)=1,"",第五週!$H$115))</f>
        <v/>
      </c>
      <c r="H62" s="21" t="str">
        <f>_xlfn.CONCAT(IF(IFERROR(FIND("素-",第五週!$H$199),0)=1,"",第五週!$H$199),IF(OR(第五週!$H$200=0,IFERROR(FIND("素-",第五週!$H$200),0)=1),"",","),IF(IFERROR(FIND("素-",第五週!$H$200),0)=1,"",第五週!$H$200),IF(OR(第五週!$H$201=0,IFERROR(FIND("素-",第五週!$H$201),0)=1),"",","),IF(IFERROR(FIND("素-",第五週!$H$201),0)=1,"",第五週!$H$201),IF(OR(第五週!$H$202=0,IFERROR(FIND("素-",第五週!$H$202),0)=1),"",","),IF(IFERROR(FIND("素-",第五週!$H$202),0)=1,"",第五週!$H$202),IF(OR(第五週!$H$203=0,IFERROR(FIND("素-",第五週!$H$203),0)=1),"",","),IF(IFERROR(FIND("素-",第五週!$H$203),0)=1,"",第五週!$H$203),IF(OR(第五週!$H$204=0,IFERROR(FIND("素-",第五週!$H$204),0)=1),"",","),IF(IFERROR(FIND("素-",第五週!$H$204),0)=1,"",第五週!$H$204),IF(OR(第五週!$H$205=0,IFERROR(FIND("素-",第五週!$H$205),0)=1),"",","),IF(IFERROR(FIND("素-",第五週!$H$205),0)=1,"",第五週!$H$205),IF(OR(第五週!$H$206=0,IFERROR(FIND("素-",第五週!$H$206),0)=1),"",","),IF(IFERROR(FIND("素-",第五週!$H$206),0)=1,"",第五週!$H$206))</f>
        <v/>
      </c>
      <c r="I62" s="474"/>
      <c r="J62" s="482"/>
      <c r="K62" s="482"/>
    </row>
    <row r="63" spans="1:11" ht="49.9" hidden="1" customHeight="1">
      <c r="A63" s="475">
        <f>IF(第五週!$L$2=0,"",第五週!$L$2)</f>
        <v>45475</v>
      </c>
      <c r="B63" s="477" t="s">
        <v>23</v>
      </c>
      <c r="C63" s="479" t="str">
        <f>IF(第五週!$L$4=0,"",第五週!$L$4)</f>
        <v/>
      </c>
      <c r="D63" s="81" t="str">
        <f>IF(第五週!$L$34=0,"",第五週!$L$34)</f>
        <v/>
      </c>
      <c r="E63" s="81" t="str">
        <f>IF(第五週!$L$49=0,"",第五週!$L$49)</f>
        <v/>
      </c>
      <c r="F63" s="82" t="str">
        <f>IF(第五週!$L$94=0,"",第五週!$L$94)</f>
        <v/>
      </c>
      <c r="G63" s="82" t="str">
        <f>IF(第五週!$L$109=0,"",第五週!$L$109)</f>
        <v/>
      </c>
      <c r="H63" s="82" t="str">
        <f>IF(第五週!$L$199=0,"",第五週!$L$199)</f>
        <v/>
      </c>
      <c r="I63" s="473" t="str">
        <f>IF(第五週!$L$184=0,"",第五週!$L$184)</f>
        <v/>
      </c>
      <c r="J63" s="481" t="str">
        <f>IF(第五週!$L$214=0,"",第五週!$L$214)</f>
        <v>牛奶</v>
      </c>
      <c r="K63" s="481" t="str">
        <f>IF(第五週!$L$234=0,"",第五週!$L$234)</f>
        <v/>
      </c>
    </row>
    <row r="64" spans="1:11" s="22" customFormat="1" ht="25.15" hidden="1" customHeight="1">
      <c r="A64" s="476"/>
      <c r="B64" s="478"/>
      <c r="C64" s="480"/>
      <c r="D64" s="21" t="str">
        <f>_xlfn.CONCAT(IF(IFERROR(FIND("素-",第五週!$M$34),0)=1,"",第五週!$M$34),IF(OR(第五週!$M$35=0,IFERROR(FIND("素-",第五週!$M$35),0)=1),"",","),IF(IFERROR(FIND("素-",第五週!$M$35),0)=1,"",第五週!$M$35),IF(OR(第五週!$M$36=0,IFERROR(FIND("素-",第五週!$M$36),0)=1),"",","),IF(IFERROR(FIND("素-",第五週!$M$36),0)=1,"",第五週!$M$36),IF(OR(第五週!$M$37=0,IFERROR(FIND("素-",第五週!$M$37),0)=1),"",","),IF(IFERROR(FIND("素-",第五週!$M$37),0)=1,"",第五週!$M$37),IF(OR(第五週!$M$38=0,IFERROR(FIND("素-",第五週!$M$38),0)=1),"",","),IF(IFERROR(FIND("素-",第五週!$M$38),0)=1,"",第五週!$M$38),IF(OR(第五週!$M$39=0,IFERROR(FIND("素-",第五週!$M$39),0)=1),"",","),IF(IFERROR(FIND("素-",第五週!$M$39),0)=1,"",第五週!$M$39),IF(OR(第五週!$M$40=0,IFERROR(FIND("素-",第五週!$M$40),0)=1),"",","),IF(IFERROR(FIND("素-",第五週!$M$40),0)=1,"",第五週!$M$40),IF(OR(第五週!$M$41=0,IFERROR(FIND("素-",第五週!$M$41),0)=1),"",","),IF(IFERROR(FIND("素-",第五週!$M$41),0)=1,"",第五週!$M$41),IF(OR(第五週!$M$42=0,IFERROR(FIND("素-",第五週!$M$42),0)=1),"",","),IF(IFERROR(FIND("素-",第五週!$M$42),0)=1,"",第五週!$M$42))</f>
        <v/>
      </c>
      <c r="E64" s="21" t="str">
        <f>_xlfn.CONCAT(IF(IFERROR(FIND("素-",第五週!$M$49),0)=1,"",第五週!$M$49),IF(OR(第五週!$M$50=0,IFERROR(FIND("素-",第五週!$M$50),0)=1),"",","),IF(IFERROR(FIND("素-",第五週!$M$50),0)=1,"",第五週!$M$50),IF(OR(第五週!$M$51=0,IFERROR(FIND("素-",第五週!$M$51),0)=1),"",","),IF(IFERROR(FIND("素-",第五週!$M$51),0)=1,"",第五週!$M$51),IF(OR(第五週!$M$52=0,IFERROR(FIND("素-",第五週!$M$52),0)=1),"",","),IF(IFERROR(FIND("素-",第五週!$M$52),0)=1,"",第五週!$M$52),IF(OR(第五週!$M$53=0,IFERROR(FIND("素-",第五週!$M$53),0)=1),"",","),IF(IFERROR(FIND("素-",第五週!$M$53),0)=1,"",第五週!$M$53),IF(OR(第五週!$M$54=0,IFERROR(FIND("素-",第五週!$M$54),0)=1),"",","),IF(IFERROR(FIND("素-",第五週!$M$54),0)=1,"",第五週!$M$54),IF(OR(第五週!$M$55=0,IFERROR(FIND("素-",第五週!$M$55),0)=1),"",","),IF(IFERROR(FIND("素-",第五週!$M$55),0)=1,"",第五週!$M$55))</f>
        <v/>
      </c>
      <c r="F64" s="23" t="str">
        <f>_xlfn.CONCAT(IF(IFERROR(FIND("素-",第五週!$M$94),0)=1,"",第五週!$M$94),IF(OR(第五週!$M$95=0,IFERROR(FIND("素-",第五週!$M$95),0)=1),"",","),IF(IFERROR(FIND("素-",第五週!$M$95),0)=1,"",第五週!$M$95),IF(OR(第五週!$M$96=0,IFERROR(FIND("素-",第五週!$M$96),0)=1),"",","),IF(IFERROR(FIND("素-",第五週!$M$96),0)=1,"",第五週!$M$96),IF(OR(第五週!$M$97=0,IFERROR(FIND("素-",第五週!$M$97),0)=1),"",","),IF(IFERROR(FIND("素-",第五週!$M$97),0)=1,"",第五週!$M$97),IF(OR(第五週!$M$98=0,IFERROR(FIND("素-",第五週!$M$98),0)=1),"",","),IF(IFERROR(FIND("素-",第五週!$M$98),0)=1,"",第五週!$M$98),IF(OR(第五週!$M$99=0,IFERROR(FIND("素-",第五週!$M$99),0)=1),"",","),IF(IFERROR(FIND("素-",第五週!$M$99),0)=1,"",第五週!$M$99),IF(OR(第五週!$M$100=0,IFERROR(FIND("素-",第五週!$M$100),0)=1),"",","),IF(IFERROR(FIND("素-",第五週!$M$100),0)=1,"",第五週!$M$100))</f>
        <v/>
      </c>
      <c r="G64" s="21" t="str">
        <f>_xlfn.CONCAT(IF(IFERROR(FIND("素-",第五週!$M$109),0)=1,"",第五週!$M$109),IF(OR(第五週!$M$110=0,IFERROR(FIND("素-",第五週!$M$110),0)=1),"",","),IF(IFERROR(FIND("素-",第五週!$M$110),0)=1,"",第五週!$M$110),IF(OR(第五週!$M$111=0,IFERROR(FIND("素-",第五週!$M$111),0)=1),"",","),IF(IFERROR(FIND("素-",第五週!$M$111),0)=1,"",第五週!$M$111),IF(OR(第五週!$M$112=0,IFERROR(FIND("素-",第五週!$M$112),0)=1),"",","),IF(IFERROR(FIND("素-",第五週!$M$112),0)=1,"",第五週!$M$112),IF(OR(第五週!$M$113=0,IFERROR(FIND("素-",第五週!$M$113),0)=1),"",","),IF(IFERROR(FIND("素-",第五週!$M$113),0)=1,"",第五週!$M$113),IF(OR(第五週!$M$114=0,IFERROR(FIND("素-",第五週!$M$114),0)=1),"",","),IF(IFERROR(FIND("素-",第五週!$M$114),0)=1,"",第五週!$M$114),IF(OR(第五週!$M$115=0,IFERROR(FIND("素-",第五週!$M$115),0)=1),"",","),IF(IFERROR(FIND("素-",第五週!$M$115),0)=1,"",第五週!$M$115))</f>
        <v/>
      </c>
      <c r="H64" s="21" t="str">
        <f>_xlfn.CONCAT(IF(IFERROR(FIND("素-",第五週!$M$199),0)=1,"",第五週!$M$199),IF(OR(第五週!$M$200=0,IFERROR(FIND("素-",第五週!$M$200),0)=1),"",","),IF(IFERROR(FIND("素-",第五週!$M$200),0)=1,"",第五週!$M$200),IF(OR(第五週!$M$201=0,IFERROR(FIND("素-",第五週!$M$201),0)=1),"",","),IF(IFERROR(FIND("素-",第五週!$M$201),0)=1,"",第五週!$M$201),IF(OR(第五週!$M$202=0,IFERROR(FIND("素-",第五週!$M$202),0)=1),"",","),IF(IFERROR(FIND("素-",第五週!$M$202),0)=1,"",第五週!$M$202),IF(OR(第五週!$M$203=0,IFERROR(FIND("素-",第五週!$M$203),0)=1),"",","),IF(IFERROR(FIND("素-",第五週!$M$203),0)=1,"",第五週!$M$203),IF(OR(第五週!$M$204=0,IFERROR(FIND("素-",第五週!$M$204),0)=1),"",","),IF(IFERROR(FIND("素-",第五週!$M$204),0)=1,"",第五週!$M$204),IF(OR(第五週!$M$205=0,IFERROR(FIND("素-",第五週!$M$205),0)=1),"",","),IF(IFERROR(FIND("素-",第五週!$M$205),0)=1,"",第五週!$M$205),IF(OR(第五週!$M$206=0,IFERROR(FIND("素-",第五週!$M$206),0)=1),"",","),IF(IFERROR(FIND("素-",第五週!$M$206),0)=1,"",第五週!$M$206))</f>
        <v/>
      </c>
      <c r="I64" s="474"/>
      <c r="J64" s="482"/>
      <c r="K64" s="482"/>
    </row>
    <row r="65" spans="1:11" ht="49.9" hidden="1" customHeight="1">
      <c r="A65" s="475">
        <f>IF(第五週!$Q$2=0,"",第五週!$Q$2)</f>
        <v>45476</v>
      </c>
      <c r="B65" s="477" t="s">
        <v>24</v>
      </c>
      <c r="C65" s="479" t="str">
        <f>IF(第五週!$Q$4=0,"",第五週!$Q$4)</f>
        <v/>
      </c>
      <c r="D65" s="81" t="str">
        <f>IF(第五週!$Q$34=0,"",第五週!$Q$34)</f>
        <v/>
      </c>
      <c r="E65" s="81" t="str">
        <f>IF(第五週!$Q$49=0,"",第五週!$Q$49)</f>
        <v/>
      </c>
      <c r="F65" s="82"/>
      <c r="G65" s="82" t="str">
        <f>IF(第五週!$Q$109=0,"",第五週!$Q$109)</f>
        <v/>
      </c>
      <c r="H65" s="82" t="str">
        <f>IF(第五週!$Q$199=0,"",第五週!$Q$199)</f>
        <v/>
      </c>
      <c r="I65" s="473" t="str">
        <f>IF(第五週!$Q$184=0,"",第五週!$Q$184)</f>
        <v/>
      </c>
      <c r="J65" s="481" t="str">
        <f>IF(第五週!$Q$214=0,"",第五週!$Q$214)</f>
        <v>水果</v>
      </c>
      <c r="K65" s="481" t="str">
        <f>IF(第五週!$Q$219=0,"",第五週!$Q$219)</f>
        <v/>
      </c>
    </row>
    <row r="66" spans="1:11" s="22" customFormat="1" ht="25.15" hidden="1" customHeight="1">
      <c r="A66" s="476"/>
      <c r="B66" s="478"/>
      <c r="C66" s="480"/>
      <c r="D66" s="21" t="str">
        <f>_xlfn.CONCAT(IF(IFERROR(FIND("素-",第五週!$R$34),0)=1,"",第五週!$R$34),IF(OR(第五週!$R$35=0,IFERROR(FIND("素-",第五週!$R$35),0)=1),"",","),IF(IFERROR(FIND("素-",第五週!$R$35),0)=1,"",第五週!$R$35),IF(OR(第五週!$R$36=0,IFERROR(FIND("素-",第五週!$R$36),0)=1),"",","),IF(IFERROR(FIND("素-",第五週!$R$36),0)=1,"",第五週!$R$36),IF(OR(第五週!$R$37=0,IFERROR(FIND("素-",第五週!$R$37),0)=1),"",","),IF(IFERROR(FIND("素-",第五週!$R$37),0)=1,"",第五週!$R$37),IF(OR(第五週!$R$38=0,IFERROR(FIND("素-",第五週!$R$38),0)=1),"",","),IF(IFERROR(FIND("素-",第五週!$R$38),0)=1,"",第五週!$R$38),IF(OR(第五週!$R$39=0,IFERROR(FIND("素-",第五週!$R$39),0)=1),"",","),IF(IFERROR(FIND("素-",第五週!$R$39),0)=1,"",第五週!$R$39),IF(OR(第五週!$R$40=0,IFERROR(FIND("素-",第五週!$R$40),0)=1),"",","),IF(IFERROR(FIND("素-",第五週!$R$40),0)=1,"",第五週!$R$40),IF(OR(第五週!$R$41=0,IFERROR(FIND("素-",第五週!$R$41),0)=1),"",","),IF(IFERROR(FIND("素-",第五週!$R$41),0)=1,"",第五週!$R$41),IF(OR(第五週!$R$42=0,IFERROR(FIND("素-",第五週!$R$42),0)=1),"",","),IF(IFERROR(FIND("素-",第五週!$R$42),0)=1,"",第五週!$R$42))</f>
        <v/>
      </c>
      <c r="E66" s="21" t="str">
        <f>_xlfn.CONCAT(IF(IFERROR(FIND("素-",第五週!$R$49),0)=1,"",第五週!$R$49),IF(OR(第五週!$R$50=0,IFERROR(FIND("素-",第五週!$R$50),0)=1),"",","),IF(IFERROR(FIND("素-",第五週!$R$50),0)=1,"",第五週!$R$50),IF(OR(第五週!$R$51=0,IFERROR(FIND("素-",第五週!$R$51),0)=1),"",","),IF(IFERROR(FIND("素-",第五週!$R$51),0)=1,"",第五週!$R$51),IF(OR(第五週!$R$52=0,IFERROR(FIND("素-",第五週!$R$52),0)=1),"",","),IF(IFERROR(FIND("素-",第五週!$R$52),0)=1,"",第五週!$R$52),IF(OR(第五週!$R$53=0,IFERROR(FIND("素-",第五週!$R$53),0)=1),"",","),IF(IFERROR(FIND("素-",第五週!$R$53),0)=1,"",第五週!$R$53),IF(OR(第五週!$R$54=0,IFERROR(FIND("素-",第五週!$R$54),0)=1),"",","),IF(IFERROR(FIND("素-",第五週!$R$54),0)=1,"",第五週!$R$54),IF(OR(第五週!$R$55=0,IFERROR(FIND("素-",第五週!$R$55),0)=1),"",","),IF(IFERROR(FIND("素-",第五週!$R$55),0)=1,"",第五週!$R$55))</f>
        <v/>
      </c>
      <c r="F66" s="21"/>
      <c r="G66" s="21" t="str">
        <f>_xlfn.CONCAT(IF(IFERROR(FIND("素-",第五週!$R$109),0)=1,"",第五週!$R$109),IF(OR(第五週!$R$110=0,IFERROR(FIND("素-",第五週!$R$110),0)=1),"",","),IF(IFERROR(FIND("素-",第五週!$R$110),0)=1,"",第五週!$R$110),IF(OR(第五週!$R$111=0,IFERROR(FIND("素-",第五週!$R$111),0)=1),"",","),IF(IFERROR(FIND("素-",第五週!$R$111),0)=1,"",第五週!$R$111),IF(OR(第五週!$R$112=0,IFERROR(FIND("素-",第五週!$R$112),0)=1),"",","),IF(IFERROR(FIND("素-",第五週!$R$112),0)=1,"",第五週!$R$112),IF(OR(第五週!$R$113=0,IFERROR(FIND("素-",第五週!$R$113),0)=1),"",","),IF(IFERROR(FIND("素-",第五週!$R$113),0)=1,"",第五週!$R$113),IF(OR(第五週!$R$114=0,IFERROR(FIND("素-",第五週!$R$114),0)=1),"",","),IF(IFERROR(FIND("素-",第五週!$R$114),0)=1,"",第五週!$R$114),IF(OR(第五週!$R$115=0,IFERROR(FIND("素-",第五週!$R$115),0)=1),"",","),IF(IFERROR(FIND("素-",第五週!$R$115),0)=1,"",第五週!$R$115))</f>
        <v/>
      </c>
      <c r="H66" s="21" t="str">
        <f>_xlfn.CONCAT(IF(IFERROR(FIND("素-",第五週!$R$199),0)=1,"",第五週!$R$199),IF(OR(第五週!$R$200=0,IFERROR(FIND("素-",第五週!$R$200),0)=1),"",","),IF(IFERROR(FIND("素-",第五週!$R$200),0)=1,"",第五週!$R$200),IF(OR(第五週!$R$201=0,IFERROR(FIND("素-",第五週!$R$201),0)=1),"",","),IF(IFERROR(FIND("素-",第五週!$R$201),0)=1,"",第五週!$R$201),IF(OR(第五週!$R$202=0,IFERROR(FIND("素-",第五週!$R$202),0)=1),"",","),IF(IFERROR(FIND("素-",第五週!$R$202),0)=1,"",第五週!$R$202),IF(OR(第五週!$R$203=0,IFERROR(FIND("素-",第五週!$R$203),0)=1),"",","),IF(IFERROR(FIND("素-",第五週!$R$203),0)=1,"",第五週!$R$203),IF(OR(第五週!$R$204=0,IFERROR(FIND("素-",第五週!$R$204),0)=1),"",","),IF(IFERROR(FIND("素-",第五週!$R$204),0)=1,"",第五週!$R$204),IF(OR(第五週!$R$205=0,IFERROR(FIND("素-",第五週!$R$205),0)=1),"",","),IF(IFERROR(FIND("素-",第五週!$R$205),0)=1,"",第五週!$R$205),IF(OR(第五週!$R$206=0,IFERROR(FIND("素-",第五週!$R$206),0)=1),"",","),IF(IFERROR(FIND("素-",第五週!$R$206),0)=1,"",第五週!$R$206))</f>
        <v/>
      </c>
      <c r="I66" s="474"/>
      <c r="J66" s="482"/>
      <c r="K66" s="482"/>
    </row>
    <row r="67" spans="1:11" ht="49.9" hidden="1" customHeight="1">
      <c r="A67" s="475">
        <f>IF(第五週!$V$2=0,"",第五週!$V$2)</f>
        <v>45477</v>
      </c>
      <c r="B67" s="477" t="s">
        <v>25</v>
      </c>
      <c r="C67" s="479" t="str">
        <f>IF(第五週!$V$4=0,"",第五週!$V$4)</f>
        <v/>
      </c>
      <c r="D67" s="81" t="str">
        <f>IF(第五週!$V$34=0,"",第五週!$V$34)</f>
        <v/>
      </c>
      <c r="E67" s="81" t="str">
        <f>IF(第五週!$V$49=0,"",第五週!$V$49)</f>
        <v/>
      </c>
      <c r="F67" s="82" t="str">
        <f>IF(第五週!$V$94=0,"",第五週!$V$94)</f>
        <v/>
      </c>
      <c r="G67" s="82" t="str">
        <f>IF(第五週!$V$109=0,"",第五週!$V$109)</f>
        <v/>
      </c>
      <c r="H67" s="82" t="str">
        <f>IF(第五週!$V$199=0,"",第五週!$V$199)</f>
        <v/>
      </c>
      <c r="I67" s="473" t="str">
        <f>IF(第五週!$V$184=0,"",第五週!$V$184)</f>
        <v/>
      </c>
      <c r="J67" s="481" t="str">
        <f>IF(第五週!$V$214=0,"",第五週!$V$214)</f>
        <v>牛奶</v>
      </c>
      <c r="K67" s="481" t="str">
        <f>IF(第五週!$V$234=0,"",第五週!$V$234)</f>
        <v/>
      </c>
    </row>
    <row r="68" spans="1:11" s="22" customFormat="1" ht="25.15" hidden="1" customHeight="1">
      <c r="A68" s="476"/>
      <c r="B68" s="478"/>
      <c r="C68" s="480"/>
      <c r="D68" s="21" t="str">
        <f>_xlfn.CONCAT(IF(IFERROR(FIND("素-",第五週!$W$34),0)=1,"",第五週!$W$34),IF(OR(第五週!$W$35=0,IFERROR(FIND("素-",第五週!$W$35),0)=1),"",","),IF(IFERROR(FIND("素-",第五週!$W$35),0)=1,"",第五週!$W$35),IF(OR(第五週!$W$36=0,IFERROR(FIND("素-",第五週!$W$36),0)=1),"",","),IF(IFERROR(FIND("素-",第五週!$W$36),0)=1,"",第五週!$W$36),IF(OR(第五週!$W$37=0,IFERROR(FIND("素-",第五週!$W$37),0)=1),"",","),IF(IFERROR(FIND("素-",第五週!$W$37),0)=1,"",第五週!$W$37),IF(OR(第五週!$W$38=0,IFERROR(FIND("素-",第五週!$W$38),0)=1),"",","),IF(IFERROR(FIND("素-",第五週!$W$38),0)=1,"",第五週!$W$38),IF(OR(第五週!$W$39=0,IFERROR(FIND("素-",第五週!$W$39),0)=1),"",","),IF(IFERROR(FIND("素-",第五週!$W$39),0)=1,"",第五週!$W$39),IF(OR(第五週!$W$40=0,IFERROR(FIND("素-",第五週!$W$40),0)=1),"",","),IF(IFERROR(FIND("素-",第五週!$W$40),0)=1,"",第五週!$W$40),IF(OR(第五週!$W$41=0,IFERROR(FIND("素-",第五週!$W$41),0)=1),"",","),IF(IFERROR(FIND("素-",第五週!$W$41),0)=1,"",第五週!$W$41),IF(OR(第五週!$W$42=0,IFERROR(FIND("素-",第五週!$W$42),0)=1),"",","),IF(IFERROR(FIND("素-",第五週!$W$42),0)=1,"",第五週!$W$42))</f>
        <v/>
      </c>
      <c r="E68" s="21" t="str">
        <f>_xlfn.CONCAT(IF(IFERROR(FIND("素-",第五週!$W$49),0)=1,"",第五週!$W$49),IF(OR(第五週!$W$50=0,IFERROR(FIND("素-",第五週!$W$50),0)=1),"",","),IF(IFERROR(FIND("素-",第五週!$W$50),0)=1,"",第五週!$W$50),IF(OR(第五週!$W$51=0,IFERROR(FIND("素-",第五週!$W$51),0)=1),"",","),IF(IFERROR(FIND("素-",第五週!$W$51),0)=1,"",第五週!$W$51),IF(OR(第五週!$W$52=0,IFERROR(FIND("素-",第五週!$W$52),0)=1),"",","),IF(IFERROR(FIND("素-",第五週!$W$52),0)=1,"",第五週!$W$52),IF(OR(第五週!$W$53=0,IFERROR(FIND("素-",第五週!$W$53),0)=1),"",","),IF(IFERROR(FIND("素-",第五週!$W$53),0)=1,"",第五週!$W$53),IF(OR(第五週!$W$54=0,IFERROR(FIND("素-",第五週!$W$54),0)=1),"",","),IF(IFERROR(FIND("素-",第五週!$W$54),0)=1,"",第五週!$W$54),IF(OR(第五週!$W$55=0,IFERROR(FIND("素-",第五週!$W$55),0)=1),"",","),IF(IFERROR(FIND("素-",第五週!$W$55),0)=1,"",第五週!$W$55))</f>
        <v/>
      </c>
      <c r="F68" s="21" t="str">
        <f>_xlfn.CONCAT(IF(IFERROR(FIND("素-",第五週!$W$94),0)=1,"",第五週!$W$94),IF(OR(第五週!$W$95=0,IFERROR(FIND("素-",第五週!$W$95),0)=1),"",","),IF(IFERROR(FIND("素-",第五週!$W$95),0)=1,"",第五週!$W$95),IF(OR(第五週!$W$96=0,IFERROR(FIND("素-",第五週!$W$96),0)=1),"",","),IF(IFERROR(FIND("素-",第五週!$W$96),0)=1,"",第五週!$W$96),IF(OR(第五週!$W$97=0,IFERROR(FIND("素-",第五週!$W$97),0)=1),"",","),IF(IFERROR(FIND("素-",第五週!$W$97),0)=1,"",第五週!$W$97),IF(OR(第五週!$W$98=0,IFERROR(FIND("素-",第五週!$W$98),0)=1),"",","),IF(IFERROR(FIND("素-",第五週!$W$98),0)=1,"",第五週!$W$98),IF(OR(第五週!$W$99=0,IFERROR(FIND("素-",第五週!$W$99),0)=1),"",","),IF(IFERROR(FIND("素-",第五週!$W$99),0)=1,"",第五週!$W$99),IF(OR(第五週!$W$100=0,IFERROR(FIND("素-",第五週!$W$100),0)=1),"",","),IF(IFERROR(FIND("素-",第五週!$W$100),0)=1,"",第五週!$W$100))</f>
        <v/>
      </c>
      <c r="G68" s="21" t="str">
        <f>_xlfn.CONCAT(IF(IFERROR(FIND("素-",第五週!$W$109),0)=1,"",第五週!$W$109),IF(OR(第五週!$W$110=0,IFERROR(FIND("素-",第五週!$W$110),0)=1),"",","),IF(IFERROR(FIND("素-",第五週!$W$110),0)=1,"",第五週!$W$110),IF(OR(第五週!$W$111=0,IFERROR(FIND("素-",第五週!$W$111),0)=1),"",","),IF(IFERROR(FIND("素-",第五週!$W$111),0)=1,"",第五週!$W$111),IF(OR(第五週!$W$112=0,IFERROR(FIND("素-",第五週!$W$112),0)=1),"",","),IF(IFERROR(FIND("素-",第五週!$W$112),0)=1,"",第五週!$W$112),IF(OR(第五週!$W$113=0,IFERROR(FIND("素-",第五週!$W$113),0)=1),"",","),IF(IFERROR(FIND("素-",第五週!$W$113),0)=1,"",第五週!$W$113),IF(OR(第五週!$W$114=0,IFERROR(FIND("素-",第五週!$W$114),0)=1),"",","),IF(IFERROR(FIND("素-",第五週!$W$114),0)=1,"",第五週!$W$114),IF(OR(第五週!$W$115=0,IFERROR(FIND("素-",第五週!$W$115),0)=1),"",","),IF(IFERROR(FIND("素-",第五週!$W$115),0)=1,"",第五週!$W$115))</f>
        <v/>
      </c>
      <c r="H68" s="21" t="str">
        <f>_xlfn.CONCAT(IF(IFERROR(FIND("素-",第五週!$W$199),0)=1,"",第五週!$W$199),IF(OR(第五週!$W$200=0,IFERROR(FIND("素-",第五週!$W$200),0)=1),"",","),IF(IFERROR(FIND("素-",第五週!$W$200),0)=1,"",第五週!$W$200),IF(OR(第五週!$W$201=0,IFERROR(FIND("素-",第五週!$W$201),0)=1),"",","),IF(IFERROR(FIND("素-",第五週!$W$201),0)=1,"",第五週!$W$201),IF(OR(第五週!$W$202=0,IFERROR(FIND("素-",第五週!$W$202),0)=1),"",","),IF(IFERROR(FIND("素-",第五週!$W$202),0)=1,"",第五週!$W$202),IF(OR(第五週!$W$203=0,IFERROR(FIND("素-",第五週!$W$203),0)=1),"",","),IF(IFERROR(FIND("素-",第五週!$W$203),0)=1,"",第五週!$W$203),IF(OR(第五週!$W$204=0,IFERROR(FIND("素-",第五週!$W$204),0)=1),"",","),IF(IFERROR(FIND("素-",第五週!$W$204),0)=1,"",第五週!$W$204),IF(OR(第五週!$W$205=0,IFERROR(FIND("素-",第五週!$W$205),0)=1),"",","),IF(IFERROR(FIND("素-",第五週!$W$205),0)=1,"",第五週!$W$205),IF(OR(第五週!$W$206=0,IFERROR(FIND("素-",第五週!$W$206),0)=1),"",","),IF(IFERROR(FIND("素-",第五週!$W$206),0)=1,"",第五週!$W$206))</f>
        <v/>
      </c>
      <c r="I68" s="474"/>
      <c r="J68" s="482"/>
      <c r="K68" s="482"/>
    </row>
    <row r="69" spans="1:11" ht="49.9" hidden="1" customHeight="1">
      <c r="A69" s="475">
        <f>IF(第五週!$AA$2=0,"",第五週!$AA$2)</f>
        <v>45478</v>
      </c>
      <c r="B69" s="477" t="s">
        <v>37</v>
      </c>
      <c r="C69" s="479" t="str">
        <f>IF(第五週!$AA$4=0,"",第五週!$AA$4)</f>
        <v/>
      </c>
      <c r="D69" s="81" t="str">
        <f>IF(第五週!$AA$34=0,"",第五週!$AA$34)</f>
        <v/>
      </c>
      <c r="E69" s="81" t="str">
        <f>IF(第五週!$AA$49=0,"",第五週!$AA$49)</f>
        <v/>
      </c>
      <c r="F69" s="82" t="str">
        <f>IF(第五週!$AA$94=0,"",第五週!$AA$94)</f>
        <v/>
      </c>
      <c r="G69" s="82" t="str">
        <f>IF(第五週!$AA$109=0,"",第五週!$AA$109)</f>
        <v/>
      </c>
      <c r="H69" s="82" t="str">
        <f>IF(第五週!$AA$199=0,"",第五週!$AA$199)</f>
        <v/>
      </c>
      <c r="I69" s="473" t="str">
        <f>IF(第五週!$AA$184=0,"",第五週!$AA$184)</f>
        <v/>
      </c>
      <c r="J69" s="481" t="str">
        <f>IF(第五週!$AA$214=0,"",第五週!$AA$214)</f>
        <v>水果</v>
      </c>
      <c r="K69" s="481" t="str">
        <f>IF(第五週!$AA$234=0,"",第五週!$AA$234)</f>
        <v/>
      </c>
    </row>
    <row r="70" spans="1:11" s="22" customFormat="1" ht="25.15" hidden="1" customHeight="1">
      <c r="A70" s="476"/>
      <c r="B70" s="478"/>
      <c r="C70" s="480"/>
      <c r="D70" s="21" t="str">
        <f>_xlfn.CONCAT(IF(IFERROR(FIND("素-",第五週!$AB$34),0)=1,"",第五週!$AB$34),IF(OR(第五週!$AB$35=0,IFERROR(FIND("素-",第五週!$AB$35),0)=1),"",","),IF(IFERROR(FIND("素-",第五週!$AB$35),0)=1,"",第五週!$AB$35),IF(OR(第五週!$AB$36=0,IFERROR(FIND("素-",第五週!$AB$36),0)=1),"",","),IF(IFERROR(FIND("素-",第五週!$AB$36),0)=1,"",第五週!$AB$36),IF(OR(第五週!$AB$37=0,IFERROR(FIND("素-",第五週!$AB$37),0)=1),"",","),IF(IFERROR(FIND("素-",第五週!$AB$37),0)=1,"",第五週!$AB$37),IF(OR(第五週!$AB$38=0,IFERROR(FIND("素-",第五週!$AB$38),0)=1),"",","),IF(IFERROR(FIND("素-",第五週!$AB$38),0)=1,"",第五週!$AB$38),IF(OR(第五週!$AB$39=0,IFERROR(FIND("素-",第五週!$AB$39),0)=1),"",","),IF(IFERROR(FIND("素-",第五週!$AB$39),0)=1,"",第五週!$AB$39),IF(OR(第五週!$AB$40=0,IFERROR(FIND("素-",第五週!$AB$40),0)=1),"",","),IF(IFERROR(FIND("素-",第五週!$AB$40),0)=1,"",第五週!$AB$40),IF(OR(第五週!$AB$41=0,IFERROR(FIND("素-",第五週!$AB$41),0)=1),"",","),IF(IFERROR(FIND("素-",第五週!$AB$41),0)=1,"",第五週!$AB$41),IF(OR(第五週!$AB$42=0,IFERROR(FIND("素-",第五週!$AB$42),0)=1),"",","),IF(IFERROR(FIND("素-",第五週!$AB$42),0)=1,"",第五週!$AB$42))</f>
        <v/>
      </c>
      <c r="E70" s="21" t="str">
        <f>_xlfn.CONCAT(IF(IFERROR(FIND("素-",第五週!$AB$49),0)=1,"",第五週!$AB$49),IF(OR(第五週!$AB$50=0,IFERROR(FIND("素-",第五週!$AB$50),0)=1),"",","),IF(IFERROR(FIND("素-",第五週!$AB$50),0)=1,"",第五週!$AB$50),IF(OR(第五週!$AB$51=0,IFERROR(FIND("素-",第五週!$AB$51),0)=1),"",","),IF(IFERROR(FIND("素-",第五週!$AB$51),0)=1,"",第五週!$AB$51),IF(OR(第五週!$AB$52=0,IFERROR(FIND("素-",第五週!$AB$52),0)=1),"",","),IF(IFERROR(FIND("素-",第五週!$AB$52),0)=1,"",第五週!$AB$52),IF(OR(第五週!$AB$53=0,IFERROR(FIND("素-",第五週!$AB$53),0)=1),"",","),IF(IFERROR(FIND("素-",第五週!$AB$53),0)=1,"",第五週!$AB$53),IF(OR(第五週!$AB$54=0,IFERROR(FIND("素-",第五週!$AB$54),0)=1),"",","),IF(IFERROR(FIND("素-",第五週!$AB$54),0)=1,"",第五週!$AB$54),IF(OR(第五週!$AB$55=0,IFERROR(FIND("素-",第五週!$AB$55),0)=1),"",","),IF(IFERROR(FIND("素-",第五週!$AB$55),0)=1,"",第五週!$AB$55))</f>
        <v/>
      </c>
      <c r="F70" s="21" t="str">
        <f>_xlfn.CONCAT(IF(IFERROR(FIND("素-",第五週!$AB$94),0)=1,"",第五週!$AB$94),IF(OR(第五週!$AB$95=0,IFERROR(FIND("素-",第五週!$AB$95),0)=1),"",","),IF(IFERROR(FIND("素-",第五週!$AB$95),0)=1,"",第五週!$AB$95),IF(OR(第五週!$AB$96=0,IFERROR(FIND("素-",第五週!$AB$96),0)=1),"",","),IF(IFERROR(FIND("素-",第五週!$AB$96),0)=1,"",第五週!$AB$96),IF(OR(第五週!$AB$97=0,IFERROR(FIND("素-",第五週!$AB$97),0)=1),"",","),IF(IFERROR(FIND("素-",第五週!$AB$97),0)=1,"",第五週!$AB$97),IF(OR(第五週!$AB$98=0,IFERROR(FIND("素-",第五週!$AB$98),0)=1),"",","),IF(IFERROR(FIND("素-",第五週!$AB$98),0)=1,"",第五週!$AB$98),IF(OR(第五週!$AB$99=0,IFERROR(FIND("素-",第五週!$AB$99),0)=1),"",","),IF(IFERROR(FIND("素-",第五週!$AB$99),0)=1,"",第五週!$AB$99),IF(OR(第五週!$AB$100=0,IFERROR(FIND("素-",第五週!$AB$100),0)=1),"",","),IF(IFERROR(FIND("素-",第五週!$AB$100),0)=1,"",第五週!$AB$100))</f>
        <v/>
      </c>
      <c r="G70" s="21" t="str">
        <f>_xlfn.CONCAT(IF(IFERROR(FIND("素-",第五週!$AB$109),0)=1,"",第五週!$AB$109),IF(OR(第五週!$AB$110=0,IFERROR(FIND("素-",第五週!$AB$110),0)=1),"",","),IF(IFERROR(FIND("素-",第五週!$AB$110),0)=1,"",第五週!$AB$110),IF(OR(第五週!$AB$111=0,IFERROR(FIND("素-",第五週!$AB$111),0)=1),"",","),IF(IFERROR(FIND("素-",第五週!$AB$111),0)=1,"",第五週!$AB$111),IF(OR(第五週!$AB$112=0,IFERROR(FIND("素-",第五週!$AB$112),0)=1),"",","),IF(IFERROR(FIND("素-",第五週!$AB$112),0)=1,"",第五週!$AB$112),IF(OR(第五週!$AB$113=0,IFERROR(FIND("素-",第五週!$AB$113),0)=1),"",","),IF(IFERROR(FIND("素-",第五週!$AB$113),0)=1,"",第五週!$AB$113),IF(OR(第五週!$AB$114=0,IFERROR(FIND("素-",第五週!$AB$114),0)=1),"",","),IF(IFERROR(FIND("素-",第五週!$AB$114),0)=1,"",第五週!$AB$114),IF(OR(第五週!$AB$115=0,IFERROR(FIND("素-",第五週!$AB$115),0)=1),"",","),IF(IFERROR(FIND("素-",第五週!$AB$115),0)=1,"",第五週!$AB$115))</f>
        <v/>
      </c>
      <c r="H70" s="21" t="str">
        <f>_xlfn.CONCAT(IF(IFERROR(FIND("素-",第五週!$AB$199),0)=1,"",第五週!$AB$199),IF(OR(第五週!$AB$200=0,IFERROR(FIND("素-",第五週!$AB$200),0)=1),"",","),IF(IFERROR(FIND("素-",第五週!$AB$200),0)=1,"",第五週!$AB$200),IF(OR(第五週!$AB$201=0,IFERROR(FIND("素-",第五週!$AB$201),0)=1),"",","),IF(IFERROR(FIND("素-",第五週!$AB$201),0)=1,"",第五週!$AB$201),IF(OR(第五週!$AB$202=0,IFERROR(FIND("素-",第五週!$AB$202),0)=1),"",","),IF(IFERROR(FIND("素-",第五週!$AB$202),0)=1,"",第五週!$AB$202),IF(OR(第五週!$AB$203=0,IFERROR(FIND("素-",第五週!$AB$203),0)=1),"",","),IF(IFERROR(FIND("素-",第五週!$AB$203),0)=1,"",第五週!$AB$203),IF(OR(第五週!$AB$204=0,IFERROR(FIND("素-",第五週!$AB$204),0)=1),"",","),IF(IFERROR(FIND("素-",第五週!$AB$204),0)=1,"",第五週!$AB$204),IF(OR(第五週!$AB$205=0,IFERROR(FIND("素-",第五週!$AB$205),0)=1),"",","),IF(IFERROR(FIND("素-",第五週!$AB$205),0)=1,"",第五週!$AB$205),IF(OR(第五週!$AB$206=0,IFERROR(FIND("素-",第五週!$AB$206),0)=1),"",","),IF(IFERROR(FIND("素-",第五週!$AB$206),0)=1,"",第五週!$AB$206))</f>
        <v/>
      </c>
      <c r="I70" s="474"/>
      <c r="J70" s="482"/>
      <c r="K70" s="482"/>
    </row>
    <row r="71" spans="1:11" ht="49.9" hidden="1" customHeight="1">
      <c r="A71" s="475" t="str">
        <f>IF(第五週!$AF$2=0,"",第五週!$AF$2)</f>
        <v/>
      </c>
      <c r="B71" s="477" t="s">
        <v>38</v>
      </c>
      <c r="C71" s="479" t="str">
        <f>IF(第五週!$AF$4=0,"",第五週!$AF$4)</f>
        <v/>
      </c>
      <c r="D71" s="81" t="str">
        <f>IF(第五週!$AF$34=0,"",第五週!$AF$34)</f>
        <v/>
      </c>
      <c r="E71" s="81" t="str">
        <f>IF(第五週!$AF$49=0,"",第五週!$AF$49)</f>
        <v/>
      </c>
      <c r="F71" s="82" t="str">
        <f>IF(第五週!$AF$94=0,"",第五週!$AF$94)</f>
        <v/>
      </c>
      <c r="G71" s="82" t="str">
        <f>IF(第五週!$AF$109=0,"",第五週!$AF$109)</f>
        <v/>
      </c>
      <c r="H71" s="82" t="str">
        <f>IF(第五週!$AF$199=0,"",第五週!$AF$199)</f>
        <v/>
      </c>
      <c r="I71" s="473" t="str">
        <f>IF(第五週!$AF$184=0,"",第五週!$AF$184)</f>
        <v/>
      </c>
      <c r="J71" s="481" t="str">
        <f>IF(第五週!$AF$214=0,"",第五週!$AF$214)</f>
        <v/>
      </c>
      <c r="K71" s="481" t="str">
        <f>IF(第五週!$AF$234=0,"",第五週!$AF$234)</f>
        <v/>
      </c>
    </row>
    <row r="72" spans="1:11" s="22" customFormat="1" ht="25.15" hidden="1" customHeight="1">
      <c r="A72" s="476"/>
      <c r="B72" s="478"/>
      <c r="C72" s="480"/>
      <c r="D72" s="21" t="str">
        <f>_xlfn.CONCAT(IF(IFERROR(FIND("素-",第五週!$AG$34),0)=1,"",第五週!$AG$34),IF(OR(第五週!$AG$35=0,IFERROR(FIND("素-",第五週!$AG$35),0)=1),"",","),IF(IFERROR(FIND("素-",第五週!$AG$35),0)=1,"",第五週!$AG$35),IF(OR(第五週!$AG$36=0,IFERROR(FIND("素-",第五週!$AG$36),0)=1),"",","),IF(IFERROR(FIND("素-",第五週!$AG$36),0)=1,"",第五週!$AG$36),IF(OR(第五週!$AG$37=0,IFERROR(FIND("素-",第五週!$AG$37),0)=1),"",","),IF(IFERROR(FIND("素-",第五週!$AG$37),0)=1,"",第五週!$AG$37),IF(OR(第五週!$AG$38=0,IFERROR(FIND("素-",第五週!$AG$38),0)=1),"",","),IF(IFERROR(FIND("素-",第五週!$AG$38),0)=1,"",第五週!$AG$38),IF(OR(第五週!$AG$39=0,IFERROR(FIND("素-",第五週!$AG$39),0)=1),"",","),IF(IFERROR(FIND("素-",第五週!$AG$39),0)=1,"",第五週!$AG$39),IF(OR(第五週!$AG$40=0,IFERROR(FIND("素-",第五週!$AG$40),0)=1),"",","),IF(IFERROR(FIND("素-",第五週!$AG$40),0)=1,"",第五週!$AG$40),IF(OR(第五週!$AG$41=0,IFERROR(FIND("素-",第五週!$AG$41),0)=1),"",","),IF(IFERROR(FIND("素-",第五週!$AG$41),0)=1,"",第五週!$AG$41),IF(OR(第五週!$AG$42=0,IFERROR(FIND("素-",第五週!$AG$42),0)=1),"",","),IF(IFERROR(FIND("素-",第五週!$AG$42),0)=1,"",第五週!$AG$42))</f>
        <v/>
      </c>
      <c r="E72" s="21" t="str">
        <f>_xlfn.CONCAT(IF(IFERROR(FIND("素-",第五週!$AG$49),0)=1,"",第五週!$AG$49),IF(OR(第五週!$AG$50=0,IFERROR(FIND("素-",第五週!$AG$50),0)=1),"",","),IF(IFERROR(FIND("素-",第五週!$AG$50),0)=1,"",第五週!$AG$50),IF(OR(第五週!$AG$51=0,IFERROR(FIND("素-",第五週!$AG$51),0)=1),"",","),IF(IFERROR(FIND("素-",第五週!$AG$51),0)=1,"",第五週!$AG$51),IF(OR(第五週!$AG$52=0,IFERROR(FIND("素-",第五週!$AG$52),0)=1),"",","),IF(IFERROR(FIND("素-",第五週!$AG$52),0)=1,"",第五週!$AG$52),IF(OR(第五週!$AG$53=0,IFERROR(FIND("素-",第五週!$AG$53),0)=1),"",","),IF(IFERROR(FIND("素-",第五週!$AG$53),0)=1,"",第五週!$AG$53),IF(OR(第五週!$AG$54=0,IFERROR(FIND("素-",第五週!$AG$54),0)=1),"",","),IF(IFERROR(FIND("素-",第五週!$AG$54),0)=1,"",第五週!$AG$54),IF(OR(第五週!$AG$55=0,IFERROR(FIND("素-",第五週!$AG$55),0)=1),"",","),IF(IFERROR(FIND("素-",第五週!$AG$55),0)=1,"",第五週!$AG$55))</f>
        <v/>
      </c>
      <c r="F72" s="21" t="str">
        <f>_xlfn.CONCAT(IF(IFERROR(FIND("素-",第五週!$AG$94),0)=1,"",第五週!$AG$94),IF(OR(第五週!$AG$95=0,IFERROR(FIND("素-",第五週!$AG$95),0)=1),"",","),IF(IFERROR(FIND("素-",第五週!$AG$95),0)=1,"",第五週!$AG$95),IF(OR(第五週!$AG$96=0,IFERROR(FIND("素-",第五週!$AG$96),0)=1),"",","),IF(IFERROR(FIND("素-",第五週!$AG$96),0)=1,"",第五週!$AG$96),IF(OR(第五週!$AG$97=0,IFERROR(FIND("素-",第五週!$AG$97),0)=1),"",","),IF(IFERROR(FIND("素-",第五週!$AG$97),0)=1,"",第五週!$AG$97),IF(OR(第五週!$AG$98=0,IFERROR(FIND("素-",第五週!$AG$98),0)=1),"",","),IF(IFERROR(FIND("素-",第五週!$AG$98),0)=1,"",第五週!$AG$98),IF(OR(第五週!$AG$99=0,IFERROR(FIND("素-",第五週!$AG$99),0)=1),"",","),IF(IFERROR(FIND("素-",第五週!$AG$99),0)=1,"",第五週!$AG$99),IF(OR(第五週!$AG$100=0,IFERROR(FIND("素-",第五週!$AG$100),0)=1),"",","),IF(IFERROR(FIND("素-",第五週!$AG$100),0)=1,"",第五週!$AG$100))</f>
        <v/>
      </c>
      <c r="G72" s="21" t="str">
        <f>_xlfn.CONCAT(IF(IFERROR(FIND("素-",第五週!$AG$109),0)=1,"",第五週!$AG$109),IF(OR(第五週!$AG$110=0,IFERROR(FIND("素-",第五週!$AG$110),0)=1),"",","),IF(IFERROR(FIND("素-",第五週!$AG$110),0)=1,"",第五週!$AG$110),IF(OR(第五週!$AG$111=0,IFERROR(FIND("素-",第五週!$AG$111),0)=1),"",","),IF(IFERROR(FIND("素-",第五週!$AG$111),0)=1,"",第五週!$AG$111),IF(OR(第五週!$AG$112=0,IFERROR(FIND("素-",第五週!$AG$112),0)=1),"",","),IF(IFERROR(FIND("素-",第五週!$AG$112),0)=1,"",第五週!$AG$112),IF(OR(第五週!$AG$113=0,IFERROR(FIND("素-",第五週!$AG$113),0)=1),"",","),IF(IFERROR(FIND("素-",第五週!$AG$113),0)=1,"",第五週!$AG$113),IF(OR(第五週!$AG$114=0,IFERROR(FIND("素-",第五週!$AG$114),0)=1),"",","),IF(IFERROR(FIND("素-",第五週!$AG$114),0)=1,"",第五週!$AG$114),IF(OR(第五週!$AG$115=0,IFERROR(FIND("素-",第五週!$AG$115),0)=1),"",","),IF(IFERROR(FIND("素-",第五週!$AG$115),0)=1,"",第五週!$AG$115))</f>
        <v/>
      </c>
      <c r="H72" s="21" t="str">
        <f>_xlfn.CONCAT(IF(IFERROR(FIND("素-",第五週!$AG$199),0)=1,"",第五週!$AG$199),IF(OR(第五週!$AG$200=0,IFERROR(FIND("素-",第五週!$AG$200),0)=1),"",","),IF(IFERROR(FIND("素-",第五週!$AG$200),0)=1,"",第五週!$AG$200),IF(OR(第五週!$AG$201=0,IFERROR(FIND("素-",第五週!$AG$201),0)=1),"",","),IF(IFERROR(FIND("素-",第五週!$AG$201),0)=1,"",第五週!$AG$201),IF(OR(第五週!$AG$202=0,IFERROR(FIND("素-",第五週!$AG$202),0)=1),"",","),IF(IFERROR(FIND("素-",第五週!$AG$202),0)=1,"",第五週!$AG$202),IF(OR(第五週!$AG$203=0,IFERROR(FIND("素-",第五週!$AG$203),0)=1),"",","),IF(IFERROR(FIND("素-",第五週!$AG$203),0)=1,"",第五週!$AG$203),IF(OR(第五週!$AG$204=0,IFERROR(FIND("素-",第五週!$AG$204),0)=1),"",","),IF(IFERROR(FIND("素-",第五週!$AG$204),0)=1,"",第五週!$AG$204),IF(OR(第五週!$AG$205=0,IFERROR(FIND("素-",第五週!$AG$205),0)=1),"",","),IF(IFERROR(FIND("素-",第五週!$AG$205),0)=1,"",第五週!$AG$205),IF(OR(第五週!$AG$206=0,IFERROR(FIND("素-",第五週!$AG$206),0)=1),"",","),IF(IFERROR(FIND("素-",第五週!$AG$206),0)=1,"",第五週!$AG$206))</f>
        <v/>
      </c>
      <c r="I72" s="474"/>
      <c r="J72" s="482"/>
      <c r="K72" s="482"/>
    </row>
    <row r="73" spans="1:11" ht="49.9" hidden="1" customHeight="1">
      <c r="A73" s="475"/>
      <c r="B73" s="477" t="s">
        <v>39</v>
      </c>
      <c r="C73" s="479"/>
      <c r="D73" s="81"/>
      <c r="E73" s="81"/>
      <c r="F73" s="81"/>
      <c r="G73" s="84"/>
      <c r="H73" s="84"/>
      <c r="I73" s="473"/>
      <c r="J73" s="481"/>
      <c r="K73" s="481"/>
    </row>
    <row r="74" spans="1:11" s="22" customFormat="1" ht="25.15" hidden="1" customHeight="1">
      <c r="A74" s="476"/>
      <c r="B74" s="478"/>
      <c r="C74" s="480"/>
      <c r="D74" s="21"/>
      <c r="E74" s="21"/>
      <c r="F74" s="21"/>
      <c r="G74" s="21"/>
      <c r="H74" s="21"/>
      <c r="I74" s="474"/>
      <c r="J74" s="482"/>
      <c r="K74" s="482"/>
    </row>
    <row r="75" spans="1:11" s="90" customFormat="1" ht="28.9" customHeight="1">
      <c r="A75" s="24"/>
      <c r="B75" s="24"/>
      <c r="C75" s="88" t="s">
        <v>42</v>
      </c>
      <c r="D75" s="89"/>
      <c r="E75" s="89"/>
      <c r="F75" s="24"/>
      <c r="G75" s="24"/>
      <c r="H75" s="24"/>
      <c r="I75" s="24"/>
      <c r="J75" s="24"/>
      <c r="K75" s="24"/>
    </row>
    <row r="76" spans="1:11" s="90" customFormat="1" ht="28.9" customHeight="1">
      <c r="A76" s="24"/>
      <c r="B76" s="24"/>
      <c r="C76" s="88" t="s">
        <v>43</v>
      </c>
      <c r="D76" s="24"/>
      <c r="E76" s="24"/>
      <c r="F76" s="24"/>
      <c r="G76" s="24"/>
      <c r="H76" s="24"/>
      <c r="I76" s="24"/>
      <c r="J76" s="24"/>
      <c r="K76" s="24"/>
    </row>
    <row r="77" spans="1:11" s="90" customFormat="1" ht="28.9" customHeight="1">
      <c r="A77" s="24"/>
      <c r="B77" s="24"/>
      <c r="C77" s="88"/>
      <c r="D77" s="24"/>
      <c r="E77" s="24"/>
      <c r="F77" s="24"/>
      <c r="G77" s="24"/>
      <c r="H77" s="24"/>
      <c r="I77" s="24"/>
      <c r="J77" s="24"/>
      <c r="K77" s="24"/>
    </row>
    <row r="78" spans="1:11" ht="24.4" customHeight="1"/>
    <row r="79" spans="1:11" ht="24.4" customHeight="1"/>
    <row r="80" spans="1:11" ht="16.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2" ht="28.15" customHeight="1"/>
    <row r="199" spans="18:18">
      <c r="R199" s="19" t="s">
        <v>83</v>
      </c>
    </row>
  </sheetData>
  <mergeCells count="212">
    <mergeCell ref="A2:K2"/>
    <mergeCell ref="A3:K3"/>
    <mergeCell ref="A5:A6"/>
    <mergeCell ref="B5:B6"/>
    <mergeCell ref="C5:C6"/>
    <mergeCell ref="I5:I6"/>
    <mergeCell ref="J5:J6"/>
    <mergeCell ref="K5:K6"/>
    <mergeCell ref="A9:A10"/>
    <mergeCell ref="B9:B10"/>
    <mergeCell ref="C9:C10"/>
    <mergeCell ref="I9:I10"/>
    <mergeCell ref="J9:J10"/>
    <mergeCell ref="K9:K10"/>
    <mergeCell ref="K7:K8"/>
    <mergeCell ref="A7:A8"/>
    <mergeCell ref="B7:B8"/>
    <mergeCell ref="C7:C8"/>
    <mergeCell ref="I7:I8"/>
    <mergeCell ref="J7:J8"/>
    <mergeCell ref="A13:A14"/>
    <mergeCell ref="B13:B14"/>
    <mergeCell ref="C13:C14"/>
    <mergeCell ref="I13:I14"/>
    <mergeCell ref="J13:J14"/>
    <mergeCell ref="K13:K14"/>
    <mergeCell ref="K11:K12"/>
    <mergeCell ref="A11:A12"/>
    <mergeCell ref="B11:B12"/>
    <mergeCell ref="C11:C12"/>
    <mergeCell ref="I11:I12"/>
    <mergeCell ref="J11:J12"/>
    <mergeCell ref="A17:A18"/>
    <mergeCell ref="B17:B18"/>
    <mergeCell ref="C17:C18"/>
    <mergeCell ref="I17:I18"/>
    <mergeCell ref="J17:J18"/>
    <mergeCell ref="K17:K18"/>
    <mergeCell ref="K15:K16"/>
    <mergeCell ref="A15:A16"/>
    <mergeCell ref="B15:B16"/>
    <mergeCell ref="C15:C16"/>
    <mergeCell ref="I15:I16"/>
    <mergeCell ref="J15:J16"/>
    <mergeCell ref="A21:A22"/>
    <mergeCell ref="B21:B22"/>
    <mergeCell ref="C21:C22"/>
    <mergeCell ref="I21:I22"/>
    <mergeCell ref="J21:J22"/>
    <mergeCell ref="K21:K22"/>
    <mergeCell ref="K19:K20"/>
    <mergeCell ref="A19:A20"/>
    <mergeCell ref="B19:B20"/>
    <mergeCell ref="C19:C20"/>
    <mergeCell ref="I19:I20"/>
    <mergeCell ref="J19:J20"/>
    <mergeCell ref="A25:A26"/>
    <mergeCell ref="B25:B26"/>
    <mergeCell ref="C25:C26"/>
    <mergeCell ref="I25:I26"/>
    <mergeCell ref="J25:J26"/>
    <mergeCell ref="K25:K26"/>
    <mergeCell ref="K23:K24"/>
    <mergeCell ref="A23:A24"/>
    <mergeCell ref="B23:B24"/>
    <mergeCell ref="C23:C24"/>
    <mergeCell ref="I23:I24"/>
    <mergeCell ref="J23:J24"/>
    <mergeCell ref="A29:A30"/>
    <mergeCell ref="B29:B30"/>
    <mergeCell ref="C29:C30"/>
    <mergeCell ref="I29:I30"/>
    <mergeCell ref="J29:J30"/>
    <mergeCell ref="K29:K30"/>
    <mergeCell ref="K27:K28"/>
    <mergeCell ref="A27:A28"/>
    <mergeCell ref="B27:B28"/>
    <mergeCell ref="C27:C28"/>
    <mergeCell ref="I27:I28"/>
    <mergeCell ref="J27:J28"/>
    <mergeCell ref="A33:A34"/>
    <mergeCell ref="B33:B34"/>
    <mergeCell ref="C33:C34"/>
    <mergeCell ref="I33:I34"/>
    <mergeCell ref="J33:J34"/>
    <mergeCell ref="K33:K34"/>
    <mergeCell ref="K31:K32"/>
    <mergeCell ref="A31:A32"/>
    <mergeCell ref="B31:B32"/>
    <mergeCell ref="C31:C32"/>
    <mergeCell ref="I31:I32"/>
    <mergeCell ref="J31:J32"/>
    <mergeCell ref="A37:A38"/>
    <mergeCell ref="B37:B38"/>
    <mergeCell ref="C37:C38"/>
    <mergeCell ref="I37:I38"/>
    <mergeCell ref="J37:J38"/>
    <mergeCell ref="K37:K38"/>
    <mergeCell ref="K35:K36"/>
    <mergeCell ref="A35:A36"/>
    <mergeCell ref="B35:B36"/>
    <mergeCell ref="C35:C36"/>
    <mergeCell ref="I35:I36"/>
    <mergeCell ref="J35:J36"/>
    <mergeCell ref="A41:A42"/>
    <mergeCell ref="B41:B42"/>
    <mergeCell ref="C41:C42"/>
    <mergeCell ref="I41:I42"/>
    <mergeCell ref="J41:J42"/>
    <mergeCell ref="K41:K42"/>
    <mergeCell ref="K39:K40"/>
    <mergeCell ref="A39:A40"/>
    <mergeCell ref="B39:B40"/>
    <mergeCell ref="C39:C40"/>
    <mergeCell ref="I39:I40"/>
    <mergeCell ref="J39:J40"/>
    <mergeCell ref="A45:A46"/>
    <mergeCell ref="B45:B46"/>
    <mergeCell ref="C45:C46"/>
    <mergeCell ref="I45:I46"/>
    <mergeCell ref="J45:J46"/>
    <mergeCell ref="K45:K46"/>
    <mergeCell ref="K43:K44"/>
    <mergeCell ref="A43:A44"/>
    <mergeCell ref="B43:B44"/>
    <mergeCell ref="C43:C44"/>
    <mergeCell ref="I43:I44"/>
    <mergeCell ref="J43:J44"/>
    <mergeCell ref="A49:A50"/>
    <mergeCell ref="B49:B50"/>
    <mergeCell ref="C49:C50"/>
    <mergeCell ref="I49:I50"/>
    <mergeCell ref="J49:J50"/>
    <mergeCell ref="K49:K50"/>
    <mergeCell ref="K47:K48"/>
    <mergeCell ref="A47:A48"/>
    <mergeCell ref="B47:B48"/>
    <mergeCell ref="C47:C48"/>
    <mergeCell ref="I47:I48"/>
    <mergeCell ref="J47:J48"/>
    <mergeCell ref="A53:A54"/>
    <mergeCell ref="B53:B54"/>
    <mergeCell ref="C53:C54"/>
    <mergeCell ref="I53:I54"/>
    <mergeCell ref="J53:J54"/>
    <mergeCell ref="K53:K54"/>
    <mergeCell ref="K51:K52"/>
    <mergeCell ref="A51:A52"/>
    <mergeCell ref="B51:B52"/>
    <mergeCell ref="C51:C52"/>
    <mergeCell ref="I51:I52"/>
    <mergeCell ref="J51:J52"/>
    <mergeCell ref="A57:A58"/>
    <mergeCell ref="B57:B58"/>
    <mergeCell ref="C57:C58"/>
    <mergeCell ref="I57:I58"/>
    <mergeCell ref="J57:J58"/>
    <mergeCell ref="K57:K58"/>
    <mergeCell ref="K55:K56"/>
    <mergeCell ref="A55:A56"/>
    <mergeCell ref="B55:B56"/>
    <mergeCell ref="C55:C56"/>
    <mergeCell ref="I55:I56"/>
    <mergeCell ref="J55:J56"/>
    <mergeCell ref="A61:A62"/>
    <mergeCell ref="B61:B62"/>
    <mergeCell ref="C61:C62"/>
    <mergeCell ref="I61:I62"/>
    <mergeCell ref="J61:J62"/>
    <mergeCell ref="K61:K62"/>
    <mergeCell ref="K59:K60"/>
    <mergeCell ref="A59:A60"/>
    <mergeCell ref="B59:B60"/>
    <mergeCell ref="C59:C60"/>
    <mergeCell ref="I59:I60"/>
    <mergeCell ref="J59:J60"/>
    <mergeCell ref="A65:A66"/>
    <mergeCell ref="B65:B66"/>
    <mergeCell ref="C65:C66"/>
    <mergeCell ref="I65:I66"/>
    <mergeCell ref="J65:J66"/>
    <mergeCell ref="K65:K66"/>
    <mergeCell ref="K63:K64"/>
    <mergeCell ref="A63:A64"/>
    <mergeCell ref="B63:B64"/>
    <mergeCell ref="C63:C64"/>
    <mergeCell ref="I63:I64"/>
    <mergeCell ref="J63:J64"/>
    <mergeCell ref="A69:A70"/>
    <mergeCell ref="B69:B70"/>
    <mergeCell ref="C69:C70"/>
    <mergeCell ref="I69:I70"/>
    <mergeCell ref="J69:J70"/>
    <mergeCell ref="K69:K70"/>
    <mergeCell ref="K67:K68"/>
    <mergeCell ref="A67:A68"/>
    <mergeCell ref="B67:B68"/>
    <mergeCell ref="C67:C68"/>
    <mergeCell ref="I67:I68"/>
    <mergeCell ref="J67:J68"/>
    <mergeCell ref="A73:A74"/>
    <mergeCell ref="B73:B74"/>
    <mergeCell ref="C73:C74"/>
    <mergeCell ref="I73:I74"/>
    <mergeCell ref="J73:J74"/>
    <mergeCell ref="K73:K74"/>
    <mergeCell ref="K71:K72"/>
    <mergeCell ref="A71:A72"/>
    <mergeCell ref="B71:B72"/>
    <mergeCell ref="C71:C72"/>
    <mergeCell ref="I71:I72"/>
    <mergeCell ref="J71:J72"/>
  </mergeCells>
  <phoneticPr fontId="16" type="noConversion"/>
  <printOptions horizontalCentered="1"/>
  <pageMargins left="0.39370078740157483" right="0.39370078740157483" top="0.59055118110236227" bottom="0.23622047244094491" header="0.31496062992125984" footer="0.31496062992125984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I268"/>
  <sheetViews>
    <sheetView showZeros="0" zoomScale="80" zoomScaleNormal="80" workbookViewId="0">
      <pane xSplit="6" ySplit="3" topLeftCell="G52" activePane="bottomRight" state="frozen"/>
      <selection activeCell="F68" sqref="F68"/>
      <selection pane="topRight" activeCell="F68" sqref="F68"/>
      <selection pane="bottomLeft" activeCell="F68" sqref="F68"/>
      <selection pane="bottomRight" activeCell="H215" sqref="H215"/>
    </sheetView>
  </sheetViews>
  <sheetFormatPr defaultColWidth="9" defaultRowHeight="16.5"/>
  <cols>
    <col min="1" max="1" width="3.625" style="7" customWidth="1"/>
    <col min="2" max="2" width="5.625" style="7" hidden="1" customWidth="1"/>
    <col min="3" max="6" width="7.625" style="7" hidden="1" customWidth="1"/>
    <col min="7" max="7" width="5.625" style="7" customWidth="1"/>
    <col min="8" max="8" width="14.75" style="7" customWidth="1"/>
    <col min="9" max="11" width="7.625" style="7" customWidth="1"/>
    <col min="12" max="12" width="5.625" style="7" customWidth="1"/>
    <col min="13" max="13" width="14.75" style="7" customWidth="1"/>
    <col min="14" max="14" width="9.125" style="7" customWidth="1"/>
    <col min="15" max="16" width="7.625" style="7" customWidth="1"/>
    <col min="17" max="17" width="5.625" style="7" customWidth="1"/>
    <col min="18" max="18" width="14.75" style="7" customWidth="1"/>
    <col min="19" max="19" width="11.375" style="7" customWidth="1"/>
    <col min="20" max="21" width="7.625" style="7" customWidth="1"/>
    <col min="22" max="22" width="5.625" style="7" customWidth="1"/>
    <col min="23" max="23" width="14.75" style="7" customWidth="1"/>
    <col min="24" max="24" width="9.625" style="7" customWidth="1"/>
    <col min="25" max="26" width="7.625" style="7" customWidth="1"/>
    <col min="27" max="27" width="5.625" style="7" customWidth="1"/>
    <col min="28" max="28" width="14.75" style="7" customWidth="1"/>
    <col min="29" max="29" width="10.125" style="7" customWidth="1"/>
    <col min="30" max="31" width="7.625" style="7" customWidth="1"/>
    <col min="32" max="32" width="5.625" style="7" hidden="1" customWidth="1"/>
    <col min="33" max="33" width="14.75" style="7" hidden="1" customWidth="1"/>
    <col min="34" max="36" width="7.625" style="7" hidden="1" customWidth="1"/>
    <col min="37" max="37" width="60.5" style="2" customWidth="1"/>
    <col min="38" max="38" width="4.5" customWidth="1"/>
    <col min="39" max="39" width="8.625" customWidth="1"/>
    <col min="40" max="45" width="4" customWidth="1"/>
    <col min="46" max="46" width="4.5" customWidth="1"/>
    <col min="47" max="47" width="8.625" customWidth="1"/>
    <col min="48" max="53" width="4" customWidth="1"/>
    <col min="54" max="54" width="4.5" customWidth="1"/>
    <col min="55" max="55" width="8.625" customWidth="1"/>
    <col min="56" max="61" width="4" customWidth="1"/>
    <col min="62" max="62" width="4.5" customWidth="1"/>
    <col min="63" max="63" width="8.625" customWidth="1"/>
    <col min="64" max="69" width="4" customWidth="1"/>
    <col min="70" max="70" width="4.5" customWidth="1"/>
    <col min="71" max="71" width="8.625" customWidth="1"/>
    <col min="72" max="77" width="4" customWidth="1"/>
    <col min="78" max="78" width="4.5" customWidth="1"/>
    <col min="79" max="79" width="8.625" customWidth="1"/>
    <col min="80" max="85" width="4" customWidth="1"/>
    <col min="87" max="87" width="3" customWidth="1"/>
    <col min="88" max="16384" width="9" style="2"/>
  </cols>
  <sheetData>
    <row r="1" spans="1:87" s="1" customFormat="1" ht="26.25" customHeight="1" thickBot="1">
      <c r="A1" s="602" t="str">
        <f>菜單總表!A2&amp;+LEFT(菜單總表!A3,FIND("餐",菜單總表!A3)-3)&amp;+"第1週午餐菜單"</f>
        <v>基隆市安樂高中、長樂安樂港西國小113 年 6 月 份 第1週午餐菜單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9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</row>
    <row r="2" spans="1:87" s="1" customFormat="1" ht="18" customHeight="1">
      <c r="A2" s="558"/>
      <c r="B2" s="531"/>
      <c r="C2" s="532"/>
      <c r="D2" s="10" t="s">
        <v>26</v>
      </c>
      <c r="E2" s="25"/>
      <c r="F2" s="28" t="s">
        <v>12</v>
      </c>
      <c r="G2" s="531">
        <v>45446</v>
      </c>
      <c r="H2" s="560"/>
      <c r="I2" s="8" t="s">
        <v>22</v>
      </c>
      <c r="J2" s="114">
        <f>1900-24-7</f>
        <v>1869</v>
      </c>
      <c r="K2" s="28" t="s">
        <v>12</v>
      </c>
      <c r="L2" s="531">
        <f>DATE(YEAR(G2),MONTH(G2),DAY(G2)+1)</f>
        <v>45447</v>
      </c>
      <c r="M2" s="532"/>
      <c r="N2" s="10" t="s">
        <v>23</v>
      </c>
      <c r="O2" s="114">
        <f>1900-24-12</f>
        <v>1864</v>
      </c>
      <c r="P2" s="28" t="s">
        <v>12</v>
      </c>
      <c r="Q2" s="531">
        <f>DATE(YEAR(L2),MONTH(L2),DAY(L2)+1)</f>
        <v>45448</v>
      </c>
      <c r="R2" s="532"/>
      <c r="S2" s="10" t="s">
        <v>24</v>
      </c>
      <c r="T2" s="114">
        <v>1900</v>
      </c>
      <c r="U2" s="28" t="s">
        <v>12</v>
      </c>
      <c r="V2" s="531">
        <f>DATE(YEAR(Q2),MONTH(Q2),DAY(Q2)+1)</f>
        <v>45449</v>
      </c>
      <c r="W2" s="532"/>
      <c r="X2" s="10" t="s">
        <v>25</v>
      </c>
      <c r="Y2" s="114">
        <f>1900-22-24</f>
        <v>1854</v>
      </c>
      <c r="Z2" s="28" t="s">
        <v>12</v>
      </c>
      <c r="AA2" s="531">
        <f>DATE(YEAR(V2),MONTH(V2),DAY(V2)+1)</f>
        <v>45450</v>
      </c>
      <c r="AB2" s="532"/>
      <c r="AC2" s="10" t="s">
        <v>16</v>
      </c>
      <c r="AD2" s="114">
        <f>1900-615</f>
        <v>1285</v>
      </c>
      <c r="AE2" s="28" t="s">
        <v>12</v>
      </c>
      <c r="AF2" s="531">
        <f>DATE(YEAR(AA2),MONTH(AA2),DAY(AA2)+1)</f>
        <v>45451</v>
      </c>
      <c r="AG2" s="532"/>
      <c r="AH2" s="10" t="s">
        <v>17</v>
      </c>
      <c r="AI2" s="25"/>
      <c r="AJ2" s="28" t="s">
        <v>12</v>
      </c>
      <c r="AK2" s="91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</row>
    <row r="3" spans="1:87" s="1" customFormat="1" ht="18" customHeight="1" thickBot="1">
      <c r="A3" s="559"/>
      <c r="B3" s="29" t="s">
        <v>18</v>
      </c>
      <c r="C3" s="64" t="s">
        <v>19</v>
      </c>
      <c r="D3" s="64" t="s">
        <v>20</v>
      </c>
      <c r="E3" s="31" t="s">
        <v>4</v>
      </c>
      <c r="F3" s="32" t="s">
        <v>3</v>
      </c>
      <c r="G3" s="115" t="s">
        <v>18</v>
      </c>
      <c r="H3" s="116" t="s">
        <v>19</v>
      </c>
      <c r="I3" s="117" t="s">
        <v>20</v>
      </c>
      <c r="J3" s="26" t="s">
        <v>4</v>
      </c>
      <c r="K3" s="30" t="s">
        <v>3</v>
      </c>
      <c r="L3" s="29" t="s">
        <v>18</v>
      </c>
      <c r="M3" s="64" t="s">
        <v>19</v>
      </c>
      <c r="N3" s="118" t="s">
        <v>20</v>
      </c>
      <c r="O3" s="31" t="s">
        <v>4</v>
      </c>
      <c r="P3" s="32" t="s">
        <v>3</v>
      </c>
      <c r="Q3" s="119" t="s">
        <v>18</v>
      </c>
      <c r="R3" s="31" t="s">
        <v>19</v>
      </c>
      <c r="S3" s="31" t="s">
        <v>20</v>
      </c>
      <c r="T3" s="31" t="s">
        <v>4</v>
      </c>
      <c r="U3" s="32" t="s">
        <v>3</v>
      </c>
      <c r="V3" s="29" t="s">
        <v>18</v>
      </c>
      <c r="W3" s="31" t="s">
        <v>19</v>
      </c>
      <c r="X3" s="31" t="s">
        <v>20</v>
      </c>
      <c r="Y3" s="31" t="s">
        <v>4</v>
      </c>
      <c r="Z3" s="32" t="s">
        <v>3</v>
      </c>
      <c r="AA3" s="29" t="s">
        <v>18</v>
      </c>
      <c r="AB3" s="31" t="s">
        <v>19</v>
      </c>
      <c r="AC3" s="31" t="s">
        <v>20</v>
      </c>
      <c r="AD3" s="31" t="s">
        <v>4</v>
      </c>
      <c r="AE3" s="32" t="s">
        <v>3</v>
      </c>
      <c r="AF3" s="29" t="s">
        <v>18</v>
      </c>
      <c r="AG3" s="31" t="s">
        <v>19</v>
      </c>
      <c r="AH3" s="31" t="s">
        <v>20</v>
      </c>
      <c r="AI3" s="31" t="s">
        <v>4</v>
      </c>
      <c r="AJ3" s="32" t="s">
        <v>3</v>
      </c>
      <c r="AK3" s="91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</row>
    <row r="4" spans="1:87" s="1" customFormat="1" ht="18" customHeight="1">
      <c r="A4" s="551" t="s">
        <v>33</v>
      </c>
      <c r="B4" s="536"/>
      <c r="C4" s="36"/>
      <c r="D4" s="37"/>
      <c r="E4" s="38"/>
      <c r="F4" s="39"/>
      <c r="G4" s="533" t="s">
        <v>150</v>
      </c>
      <c r="H4" s="320" t="s">
        <v>151</v>
      </c>
      <c r="I4" s="9"/>
      <c r="J4" s="459">
        <f>ROUND(80*J$2/1000,0)</f>
        <v>150</v>
      </c>
      <c r="K4" s="34" t="s">
        <v>0</v>
      </c>
      <c r="L4" s="533" t="s">
        <v>150</v>
      </c>
      <c r="M4" s="320" t="s">
        <v>151</v>
      </c>
      <c r="N4" s="9"/>
      <c r="O4" s="459">
        <f>ROUND(80*O$2/1000,0)</f>
        <v>149</v>
      </c>
      <c r="P4" s="34" t="s">
        <v>0</v>
      </c>
      <c r="Q4" s="552" t="s">
        <v>147</v>
      </c>
      <c r="R4" s="368" t="s">
        <v>147</v>
      </c>
      <c r="S4" s="9"/>
      <c r="T4" s="395">
        <f>ROUND(60*(T$2-73)/1000,0)</f>
        <v>110</v>
      </c>
      <c r="U4" s="379" t="s">
        <v>0</v>
      </c>
      <c r="V4" s="555" t="s">
        <v>300</v>
      </c>
      <c r="W4" s="93" t="s">
        <v>151</v>
      </c>
      <c r="X4" s="9"/>
      <c r="Y4" s="459">
        <f>ROUND(74*Y2/1000,0)</f>
        <v>137</v>
      </c>
      <c r="Z4" s="34" t="s">
        <v>0</v>
      </c>
      <c r="AA4" s="533" t="s">
        <v>150</v>
      </c>
      <c r="AB4" s="93" t="s">
        <v>151</v>
      </c>
      <c r="AC4" s="9"/>
      <c r="AD4" s="459">
        <f>ROUND(80*AD2/1000,0)</f>
        <v>103</v>
      </c>
      <c r="AE4" s="34" t="s">
        <v>0</v>
      </c>
      <c r="AF4" s="536" t="s">
        <v>106</v>
      </c>
      <c r="AG4" s="36" t="s">
        <v>105</v>
      </c>
      <c r="AH4" s="37"/>
      <c r="AI4" s="38">
        <f>ROUND(74*AI2/1000,0)</f>
        <v>0</v>
      </c>
      <c r="AJ4" s="34" t="s">
        <v>82</v>
      </c>
      <c r="AK4" s="91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</row>
    <row r="5" spans="1:87" s="1" customFormat="1" ht="18" customHeight="1" thickBot="1">
      <c r="A5" s="537"/>
      <c r="B5" s="537"/>
      <c r="C5" s="42"/>
      <c r="D5" s="7"/>
      <c r="E5" s="43"/>
      <c r="F5" s="44"/>
      <c r="G5" s="534"/>
      <c r="H5" s="322"/>
      <c r="I5" s="14"/>
      <c r="J5" s="40" t="s">
        <v>152</v>
      </c>
      <c r="K5" s="41" t="s">
        <v>0</v>
      </c>
      <c r="L5" s="534"/>
      <c r="M5" s="322"/>
      <c r="N5" s="14"/>
      <c r="O5" s="40" t="s">
        <v>152</v>
      </c>
      <c r="P5" s="41" t="s">
        <v>0</v>
      </c>
      <c r="Q5" s="553"/>
      <c r="R5" s="94"/>
      <c r="S5" s="14"/>
      <c r="T5" s="460"/>
      <c r="U5" s="270"/>
      <c r="V5" s="556"/>
      <c r="W5" s="94" t="s">
        <v>301</v>
      </c>
      <c r="X5" s="14" t="s">
        <v>149</v>
      </c>
      <c r="Y5" s="40">
        <f>ROUND(4*Y2/1000,0)</f>
        <v>7</v>
      </c>
      <c r="Z5" s="41" t="s">
        <v>0</v>
      </c>
      <c r="AA5" s="534"/>
      <c r="AB5" s="94"/>
      <c r="AC5" s="14"/>
      <c r="AD5" s="40"/>
      <c r="AE5" s="41" t="s">
        <v>0</v>
      </c>
      <c r="AF5" s="537"/>
      <c r="AG5" s="42" t="s">
        <v>107</v>
      </c>
      <c r="AH5" s="7"/>
      <c r="AI5" s="43">
        <f>ROUND(6*AI2/1000,0)</f>
        <v>0</v>
      </c>
      <c r="AJ5" s="41" t="s">
        <v>82</v>
      </c>
      <c r="AK5" s="91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</row>
    <row r="6" spans="1:87" s="1" customFormat="1" ht="18" hidden="1" customHeight="1" thickBot="1">
      <c r="A6" s="537"/>
      <c r="B6" s="537"/>
      <c r="C6" s="42"/>
      <c r="D6" s="7"/>
      <c r="E6" s="43"/>
      <c r="F6" s="44"/>
      <c r="G6" s="534"/>
      <c r="H6" s="208"/>
      <c r="I6" s="13"/>
      <c r="J6" s="45"/>
      <c r="K6" s="13"/>
      <c r="L6" s="534"/>
      <c r="M6" s="208"/>
      <c r="N6" s="13"/>
      <c r="O6" s="45"/>
      <c r="P6" s="13"/>
      <c r="Q6" s="553"/>
      <c r="R6" s="95"/>
      <c r="S6" s="13"/>
      <c r="T6" s="275"/>
      <c r="U6" s="280"/>
      <c r="V6" s="556"/>
      <c r="W6" s="95"/>
      <c r="X6" s="13"/>
      <c r="Y6" s="45"/>
      <c r="Z6" s="46"/>
      <c r="AA6" s="534"/>
      <c r="AB6" s="95"/>
      <c r="AC6" s="13"/>
      <c r="AD6" s="45"/>
      <c r="AE6" s="13"/>
      <c r="AF6" s="537"/>
      <c r="AG6" s="42"/>
      <c r="AH6" s="7"/>
      <c r="AI6" s="43"/>
      <c r="AJ6" s="13"/>
      <c r="AK6" s="91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spans="1:87" s="1" customFormat="1" ht="18" hidden="1" customHeight="1">
      <c r="A7" s="537"/>
      <c r="B7" s="537"/>
      <c r="C7" s="42"/>
      <c r="D7" s="7"/>
      <c r="E7" s="43"/>
      <c r="F7" s="44"/>
      <c r="G7" s="534"/>
      <c r="H7" s="208"/>
      <c r="I7" s="13"/>
      <c r="J7" s="45"/>
      <c r="K7" s="13"/>
      <c r="L7" s="534"/>
      <c r="M7" s="208"/>
      <c r="N7" s="13"/>
      <c r="O7" s="45"/>
      <c r="P7" s="13"/>
      <c r="Q7" s="553"/>
      <c r="R7" s="95"/>
      <c r="S7" s="13"/>
      <c r="T7" s="275"/>
      <c r="U7" s="280"/>
      <c r="V7" s="556"/>
      <c r="W7" s="95"/>
      <c r="X7" s="13"/>
      <c r="Y7" s="45"/>
      <c r="Z7" s="46"/>
      <c r="AA7" s="534"/>
      <c r="AB7" s="95"/>
      <c r="AC7" s="13"/>
      <c r="AD7" s="45"/>
      <c r="AE7" s="13"/>
      <c r="AF7" s="537"/>
      <c r="AG7" s="42"/>
      <c r="AH7" s="7"/>
      <c r="AI7" s="43"/>
      <c r="AJ7" s="13"/>
      <c r="AK7" s="91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1" customFormat="1" ht="18" hidden="1" customHeight="1">
      <c r="A8" s="537"/>
      <c r="B8" s="537"/>
      <c r="C8" s="42"/>
      <c r="D8" s="7"/>
      <c r="E8" s="43"/>
      <c r="F8" s="44"/>
      <c r="G8" s="534"/>
      <c r="H8" s="208"/>
      <c r="I8" s="13"/>
      <c r="J8" s="45"/>
      <c r="K8" s="13"/>
      <c r="L8" s="534"/>
      <c r="M8" s="208"/>
      <c r="N8" s="13"/>
      <c r="O8" s="45"/>
      <c r="P8" s="13"/>
      <c r="Q8" s="553"/>
      <c r="R8" s="95"/>
      <c r="S8" s="13"/>
      <c r="T8" s="275"/>
      <c r="U8" s="280"/>
      <c r="V8" s="556"/>
      <c r="W8" s="95"/>
      <c r="X8" s="13"/>
      <c r="Y8" s="45"/>
      <c r="Z8" s="46"/>
      <c r="AA8" s="534"/>
      <c r="AB8" s="95"/>
      <c r="AC8" s="13"/>
      <c r="AD8" s="45"/>
      <c r="AE8" s="13"/>
      <c r="AF8" s="537"/>
      <c r="AG8" s="42"/>
      <c r="AH8" s="7"/>
      <c r="AI8" s="43"/>
      <c r="AJ8" s="13"/>
      <c r="AK8" s="91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1" customFormat="1" ht="18" hidden="1" customHeight="1">
      <c r="A9" s="537"/>
      <c r="B9" s="537"/>
      <c r="C9" s="42"/>
      <c r="D9" s="7"/>
      <c r="E9" s="43"/>
      <c r="F9" s="44"/>
      <c r="G9" s="534"/>
      <c r="H9" s="208"/>
      <c r="I9" s="13"/>
      <c r="J9" s="45"/>
      <c r="K9" s="13"/>
      <c r="L9" s="534"/>
      <c r="M9" s="208"/>
      <c r="N9" s="13"/>
      <c r="O9" s="45"/>
      <c r="P9" s="13"/>
      <c r="Q9" s="553"/>
      <c r="R9" s="95"/>
      <c r="S9" s="13"/>
      <c r="T9" s="275"/>
      <c r="U9" s="280"/>
      <c r="V9" s="556"/>
      <c r="W9" s="95"/>
      <c r="X9" s="13"/>
      <c r="Y9" s="45"/>
      <c r="Z9" s="46"/>
      <c r="AA9" s="534"/>
      <c r="AB9" s="95"/>
      <c r="AC9" s="13"/>
      <c r="AD9" s="45"/>
      <c r="AE9" s="13"/>
      <c r="AF9" s="537"/>
      <c r="AG9" s="42"/>
      <c r="AH9" s="7"/>
      <c r="AI9" s="43"/>
      <c r="AJ9" s="13"/>
      <c r="AK9" s="91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</row>
    <row r="10" spans="1:87" s="1" customFormat="1" ht="18" hidden="1" customHeight="1">
      <c r="A10" s="537"/>
      <c r="B10" s="537"/>
      <c r="C10" s="42"/>
      <c r="D10" s="7"/>
      <c r="E10" s="43"/>
      <c r="F10" s="44"/>
      <c r="G10" s="534"/>
      <c r="H10" s="208"/>
      <c r="I10" s="13"/>
      <c r="J10" s="45"/>
      <c r="K10" s="13"/>
      <c r="L10" s="534"/>
      <c r="M10" s="208"/>
      <c r="N10" s="13"/>
      <c r="O10" s="45"/>
      <c r="P10" s="13"/>
      <c r="Q10" s="553"/>
      <c r="R10" s="95"/>
      <c r="S10" s="13"/>
      <c r="T10" s="275"/>
      <c r="U10" s="280"/>
      <c r="V10" s="556"/>
      <c r="W10" s="95"/>
      <c r="X10" s="13"/>
      <c r="Y10" s="45"/>
      <c r="Z10" s="46"/>
      <c r="AA10" s="534"/>
      <c r="AB10" s="95"/>
      <c r="AC10" s="13"/>
      <c r="AD10" s="45"/>
      <c r="AE10" s="13"/>
      <c r="AF10" s="537"/>
      <c r="AG10" s="42"/>
      <c r="AH10" s="7"/>
      <c r="AI10" s="43"/>
      <c r="AJ10" s="13"/>
      <c r="AK10" s="91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</row>
    <row r="11" spans="1:87" s="1" customFormat="1" ht="18" hidden="1" customHeight="1">
      <c r="A11" s="537"/>
      <c r="B11" s="537"/>
      <c r="C11" s="42"/>
      <c r="D11" s="7"/>
      <c r="E11" s="43"/>
      <c r="F11" s="44"/>
      <c r="G11" s="534"/>
      <c r="H11" s="208"/>
      <c r="I11" s="13"/>
      <c r="J11" s="45"/>
      <c r="K11" s="13"/>
      <c r="L11" s="534"/>
      <c r="M11" s="208"/>
      <c r="N11" s="13"/>
      <c r="O11" s="45"/>
      <c r="P11" s="13"/>
      <c r="Q11" s="553"/>
      <c r="R11" s="95"/>
      <c r="S11" s="13"/>
      <c r="T11" s="275"/>
      <c r="U11" s="280"/>
      <c r="V11" s="556"/>
      <c r="W11" s="95"/>
      <c r="X11" s="13"/>
      <c r="Y11" s="45"/>
      <c r="Z11" s="46"/>
      <c r="AA11" s="534"/>
      <c r="AB11" s="95"/>
      <c r="AC11" s="13"/>
      <c r="AD11" s="45"/>
      <c r="AE11" s="13"/>
      <c r="AF11" s="537"/>
      <c r="AG11" s="42"/>
      <c r="AH11" s="7"/>
      <c r="AI11" s="43"/>
      <c r="AJ11" s="13"/>
      <c r="AK11" s="9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7" s="1" customFormat="1" ht="18" hidden="1" customHeight="1">
      <c r="A12" s="537"/>
      <c r="B12" s="537"/>
      <c r="C12" s="42"/>
      <c r="D12" s="7"/>
      <c r="E12" s="43"/>
      <c r="F12" s="44"/>
      <c r="G12" s="534"/>
      <c r="H12" s="208"/>
      <c r="I12" s="13"/>
      <c r="J12" s="45"/>
      <c r="K12" s="13"/>
      <c r="L12" s="534"/>
      <c r="M12" s="208"/>
      <c r="N12" s="13"/>
      <c r="O12" s="45"/>
      <c r="P12" s="13"/>
      <c r="Q12" s="553"/>
      <c r="R12" s="95"/>
      <c r="S12" s="13"/>
      <c r="T12" s="275"/>
      <c r="U12" s="280"/>
      <c r="V12" s="556"/>
      <c r="W12" s="95"/>
      <c r="X12" s="13"/>
      <c r="Y12" s="45"/>
      <c r="Z12" s="46"/>
      <c r="AA12" s="534"/>
      <c r="AB12" s="95"/>
      <c r="AC12" s="13"/>
      <c r="AD12" s="45"/>
      <c r="AE12" s="13"/>
      <c r="AF12" s="537"/>
      <c r="AG12" s="42"/>
      <c r="AH12" s="7"/>
      <c r="AI12" s="43"/>
      <c r="AJ12" s="13"/>
      <c r="AK12" s="91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</row>
    <row r="13" spans="1:87" s="1" customFormat="1" ht="18" hidden="1" customHeight="1">
      <c r="A13" s="537"/>
      <c r="B13" s="537"/>
      <c r="C13" s="42"/>
      <c r="D13" s="7"/>
      <c r="E13" s="43"/>
      <c r="F13" s="44"/>
      <c r="G13" s="534"/>
      <c r="H13" s="208"/>
      <c r="I13" s="13"/>
      <c r="J13" s="45"/>
      <c r="K13" s="13"/>
      <c r="L13" s="534"/>
      <c r="M13" s="208"/>
      <c r="N13" s="13"/>
      <c r="O13" s="45"/>
      <c r="P13" s="13"/>
      <c r="Q13" s="553"/>
      <c r="R13" s="95"/>
      <c r="S13" s="13"/>
      <c r="T13" s="275"/>
      <c r="U13" s="280"/>
      <c r="V13" s="556"/>
      <c r="W13" s="95"/>
      <c r="X13" s="13"/>
      <c r="Y13" s="45"/>
      <c r="Z13" s="46"/>
      <c r="AA13" s="534"/>
      <c r="AB13" s="95"/>
      <c r="AC13" s="13"/>
      <c r="AD13" s="45"/>
      <c r="AE13" s="13"/>
      <c r="AF13" s="537"/>
      <c r="AG13" s="42"/>
      <c r="AH13" s="7"/>
      <c r="AI13" s="43"/>
      <c r="AJ13" s="13"/>
      <c r="AK13" s="91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</row>
    <row r="14" spans="1:87" s="1" customFormat="1" ht="18" hidden="1" customHeight="1">
      <c r="A14" s="537"/>
      <c r="B14" s="537"/>
      <c r="C14" s="42"/>
      <c r="D14" s="7"/>
      <c r="E14" s="43"/>
      <c r="F14" s="44"/>
      <c r="G14" s="534"/>
      <c r="H14" s="208"/>
      <c r="I14" s="13"/>
      <c r="J14" s="45"/>
      <c r="K14" s="13"/>
      <c r="L14" s="534"/>
      <c r="M14" s="208"/>
      <c r="N14" s="13"/>
      <c r="O14" s="45"/>
      <c r="P14" s="13"/>
      <c r="Q14" s="553"/>
      <c r="R14" s="95"/>
      <c r="S14" s="13"/>
      <c r="T14" s="275"/>
      <c r="U14" s="280"/>
      <c r="V14" s="556"/>
      <c r="W14" s="95"/>
      <c r="X14" s="13"/>
      <c r="Y14" s="45"/>
      <c r="Z14" s="46"/>
      <c r="AA14" s="534"/>
      <c r="AB14" s="95"/>
      <c r="AC14" s="13"/>
      <c r="AD14" s="45"/>
      <c r="AE14" s="13"/>
      <c r="AF14" s="537"/>
      <c r="AG14" s="42"/>
      <c r="AH14" s="7"/>
      <c r="AI14" s="43"/>
      <c r="AJ14" s="13"/>
      <c r="AK14" s="91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</row>
    <row r="15" spans="1:87" s="1" customFormat="1" ht="18" hidden="1" customHeight="1">
      <c r="A15" s="537"/>
      <c r="B15" s="537"/>
      <c r="C15" s="42"/>
      <c r="D15" s="7"/>
      <c r="E15" s="43"/>
      <c r="F15" s="44"/>
      <c r="G15" s="534"/>
      <c r="H15" s="208"/>
      <c r="I15" s="13"/>
      <c r="J15" s="45"/>
      <c r="K15" s="13"/>
      <c r="L15" s="534"/>
      <c r="M15" s="208"/>
      <c r="N15" s="13"/>
      <c r="O15" s="45"/>
      <c r="P15" s="13"/>
      <c r="Q15" s="553"/>
      <c r="R15" s="95"/>
      <c r="S15" s="13"/>
      <c r="T15" s="275"/>
      <c r="U15" s="280"/>
      <c r="V15" s="556"/>
      <c r="W15" s="95"/>
      <c r="X15" s="13"/>
      <c r="Y15" s="45"/>
      <c r="Z15" s="46"/>
      <c r="AA15" s="534"/>
      <c r="AB15" s="95"/>
      <c r="AC15" s="13"/>
      <c r="AD15" s="45"/>
      <c r="AE15" s="13"/>
      <c r="AF15" s="537"/>
      <c r="AG15" s="42"/>
      <c r="AH15" s="7"/>
      <c r="AI15" s="43"/>
      <c r="AJ15" s="13"/>
      <c r="AK15" s="91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</row>
    <row r="16" spans="1:87" s="1" customFormat="1" ht="18" hidden="1" customHeight="1">
      <c r="A16" s="537"/>
      <c r="B16" s="537"/>
      <c r="C16" s="42"/>
      <c r="D16" s="7"/>
      <c r="E16" s="43"/>
      <c r="F16" s="44"/>
      <c r="G16" s="534"/>
      <c r="H16" s="208"/>
      <c r="I16" s="13"/>
      <c r="J16" s="45"/>
      <c r="K16" s="13"/>
      <c r="L16" s="534"/>
      <c r="M16" s="208"/>
      <c r="N16" s="13"/>
      <c r="O16" s="45"/>
      <c r="P16" s="13"/>
      <c r="Q16" s="553"/>
      <c r="R16" s="95"/>
      <c r="S16" s="13"/>
      <c r="T16" s="275"/>
      <c r="U16" s="280"/>
      <c r="V16" s="556"/>
      <c r="W16" s="95"/>
      <c r="X16" s="13"/>
      <c r="Y16" s="45"/>
      <c r="Z16" s="46"/>
      <c r="AA16" s="534"/>
      <c r="AB16" s="95"/>
      <c r="AC16" s="13"/>
      <c r="AD16" s="45"/>
      <c r="AE16" s="13"/>
      <c r="AF16" s="537"/>
      <c r="AG16" s="42"/>
      <c r="AH16" s="7"/>
      <c r="AI16" s="43"/>
      <c r="AJ16" s="13"/>
      <c r="AK16" s="91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</row>
    <row r="17" spans="1:87" s="1" customFormat="1" ht="18" hidden="1" customHeight="1">
      <c r="A17" s="537"/>
      <c r="B17" s="537"/>
      <c r="C17" s="42"/>
      <c r="D17" s="7"/>
      <c r="E17" s="43"/>
      <c r="F17" s="44"/>
      <c r="G17" s="534"/>
      <c r="H17" s="208"/>
      <c r="I17" s="13"/>
      <c r="J17" s="45"/>
      <c r="K17" s="13"/>
      <c r="L17" s="534"/>
      <c r="M17" s="208"/>
      <c r="N17" s="13"/>
      <c r="O17" s="45"/>
      <c r="P17" s="13"/>
      <c r="Q17" s="553"/>
      <c r="R17" s="95"/>
      <c r="S17" s="13"/>
      <c r="T17" s="275"/>
      <c r="U17" s="280"/>
      <c r="V17" s="556"/>
      <c r="W17" s="95"/>
      <c r="X17" s="13"/>
      <c r="Y17" s="45"/>
      <c r="Z17" s="46"/>
      <c r="AA17" s="534"/>
      <c r="AB17" s="95"/>
      <c r="AC17" s="13"/>
      <c r="AD17" s="45"/>
      <c r="AE17" s="13"/>
      <c r="AF17" s="537"/>
      <c r="AG17" s="42"/>
      <c r="AH17" s="7"/>
      <c r="AI17" s="43"/>
      <c r="AJ17" s="13"/>
      <c r="AK17" s="91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</row>
    <row r="18" spans="1:87" s="1" customFormat="1" ht="18" hidden="1" customHeight="1">
      <c r="A18" s="537"/>
      <c r="B18" s="538"/>
      <c r="C18" s="47"/>
      <c r="D18" s="48"/>
      <c r="E18" s="49"/>
      <c r="F18" s="50"/>
      <c r="G18" s="535"/>
      <c r="H18" s="323"/>
      <c r="I18" s="14"/>
      <c r="J18" s="40"/>
      <c r="K18" s="14"/>
      <c r="L18" s="535"/>
      <c r="M18" s="323"/>
      <c r="N18" s="14"/>
      <c r="O18" s="40"/>
      <c r="P18" s="14"/>
      <c r="Q18" s="554"/>
      <c r="R18" s="96"/>
      <c r="S18" s="14"/>
      <c r="T18" s="274"/>
      <c r="U18" s="281"/>
      <c r="V18" s="557"/>
      <c r="W18" s="96"/>
      <c r="X18" s="14"/>
      <c r="Y18" s="40"/>
      <c r="Z18" s="41"/>
      <c r="AA18" s="535"/>
      <c r="AB18" s="96"/>
      <c r="AC18" s="14"/>
      <c r="AD18" s="40"/>
      <c r="AE18" s="14"/>
      <c r="AF18" s="538"/>
      <c r="AG18" s="47"/>
      <c r="AH18" s="48"/>
      <c r="AI18" s="49"/>
      <c r="AJ18" s="14"/>
      <c r="AK18" s="91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</row>
    <row r="19" spans="1:87" s="1" customFormat="1" ht="18" hidden="1" customHeight="1">
      <c r="A19" s="539" t="s">
        <v>47</v>
      </c>
      <c r="B19" s="542"/>
      <c r="C19" s="70"/>
      <c r="D19" s="71"/>
      <c r="E19" s="72"/>
      <c r="F19" s="51"/>
      <c r="G19" s="545"/>
      <c r="H19" s="95"/>
      <c r="I19" s="13"/>
      <c r="J19" s="276"/>
      <c r="K19" s="278"/>
      <c r="L19" s="548"/>
      <c r="M19" s="95"/>
      <c r="N19" s="13"/>
      <c r="O19" s="276"/>
      <c r="P19" s="278"/>
      <c r="Q19" s="548"/>
      <c r="R19" s="95"/>
      <c r="S19" s="13"/>
      <c r="T19" s="276"/>
      <c r="U19" s="278"/>
      <c r="V19" s="548"/>
      <c r="W19" s="95"/>
      <c r="X19" s="13"/>
      <c r="Y19" s="276"/>
      <c r="Z19" s="278"/>
      <c r="AA19" s="548"/>
      <c r="AB19" s="95"/>
      <c r="AC19" s="13"/>
      <c r="AD19" s="276"/>
      <c r="AE19" s="278"/>
      <c r="AF19" s="528"/>
      <c r="AG19" s="191"/>
      <c r="AH19" s="192"/>
      <c r="AI19" s="193"/>
      <c r="AJ19" s="51"/>
      <c r="AK19" s="91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</row>
    <row r="20" spans="1:87" s="1" customFormat="1" ht="18" hidden="1" customHeight="1">
      <c r="A20" s="540"/>
      <c r="B20" s="543"/>
      <c r="C20" s="3"/>
      <c r="D20" s="4"/>
      <c r="E20" s="73"/>
      <c r="F20" s="52"/>
      <c r="G20" s="546"/>
      <c r="H20" s="95"/>
      <c r="I20" s="13"/>
      <c r="J20" s="276"/>
      <c r="K20" s="268"/>
      <c r="L20" s="549"/>
      <c r="M20" s="95"/>
      <c r="N20" s="13"/>
      <c r="O20" s="276"/>
      <c r="P20" s="268"/>
      <c r="Q20" s="549"/>
      <c r="R20" s="95"/>
      <c r="S20" s="13"/>
      <c r="T20" s="276"/>
      <c r="U20" s="268"/>
      <c r="V20" s="549"/>
      <c r="W20" s="95"/>
      <c r="X20" s="13"/>
      <c r="Y20" s="276"/>
      <c r="Z20" s="268"/>
      <c r="AA20" s="549"/>
      <c r="AB20" s="95"/>
      <c r="AC20" s="13"/>
      <c r="AD20" s="276"/>
      <c r="AE20" s="268"/>
      <c r="AF20" s="529"/>
      <c r="AG20" s="198"/>
      <c r="AH20" s="199"/>
      <c r="AI20" s="200"/>
      <c r="AJ20" s="52"/>
      <c r="AK20" s="91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</row>
    <row r="21" spans="1:87" s="1" customFormat="1" ht="18" hidden="1" customHeight="1">
      <c r="A21" s="540"/>
      <c r="B21" s="543"/>
      <c r="C21" s="3"/>
      <c r="D21" s="4"/>
      <c r="E21" s="73"/>
      <c r="F21" s="52"/>
      <c r="G21" s="546"/>
      <c r="H21" s="95"/>
      <c r="I21" s="13"/>
      <c r="J21" s="276"/>
      <c r="K21" s="268"/>
      <c r="L21" s="549"/>
      <c r="M21" s="95"/>
      <c r="N21" s="13"/>
      <c r="O21" s="276"/>
      <c r="P21" s="268"/>
      <c r="Q21" s="549"/>
      <c r="R21" s="95"/>
      <c r="S21" s="13"/>
      <c r="T21" s="276"/>
      <c r="U21" s="268"/>
      <c r="V21" s="549"/>
      <c r="W21" s="95"/>
      <c r="X21" s="13"/>
      <c r="Y21" s="276"/>
      <c r="Z21" s="268"/>
      <c r="AA21" s="549"/>
      <c r="AB21" s="95"/>
      <c r="AC21" s="13"/>
      <c r="AD21" s="276"/>
      <c r="AE21" s="268"/>
      <c r="AF21" s="529"/>
      <c r="AG21" s="198"/>
      <c r="AH21" s="199"/>
      <c r="AI21" s="200"/>
      <c r="AJ21" s="52"/>
      <c r="AK21" s="9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</row>
    <row r="22" spans="1:87" s="1" customFormat="1" ht="18" hidden="1" customHeight="1">
      <c r="A22" s="540"/>
      <c r="B22" s="543"/>
      <c r="C22" s="3"/>
      <c r="D22" s="4"/>
      <c r="E22" s="73"/>
      <c r="F22" s="52"/>
      <c r="G22" s="546"/>
      <c r="H22" s="95"/>
      <c r="I22" s="13"/>
      <c r="J22" s="276"/>
      <c r="K22" s="268"/>
      <c r="L22" s="549"/>
      <c r="M22" s="95"/>
      <c r="N22" s="13"/>
      <c r="O22" s="276"/>
      <c r="P22" s="268"/>
      <c r="Q22" s="549"/>
      <c r="R22" s="95"/>
      <c r="S22" s="13"/>
      <c r="T22" s="276"/>
      <c r="U22" s="268"/>
      <c r="V22" s="549"/>
      <c r="W22" s="95"/>
      <c r="X22" s="13"/>
      <c r="Y22" s="276"/>
      <c r="Z22" s="268"/>
      <c r="AA22" s="549"/>
      <c r="AB22" s="95"/>
      <c r="AC22" s="13"/>
      <c r="AD22" s="276"/>
      <c r="AE22" s="268"/>
      <c r="AF22" s="529"/>
      <c r="AG22" s="198"/>
      <c r="AH22" s="199"/>
      <c r="AI22" s="200"/>
      <c r="AJ22" s="52"/>
      <c r="AK22" s="91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</row>
    <row r="23" spans="1:87" s="1" customFormat="1" ht="18" hidden="1" customHeight="1">
      <c r="A23" s="540"/>
      <c r="B23" s="543"/>
      <c r="C23" s="3"/>
      <c r="D23" s="4"/>
      <c r="E23" s="73"/>
      <c r="F23" s="52"/>
      <c r="G23" s="546"/>
      <c r="H23" s="95"/>
      <c r="I23" s="13"/>
      <c r="J23" s="276"/>
      <c r="K23" s="268"/>
      <c r="L23" s="549"/>
      <c r="M23" s="95"/>
      <c r="N23" s="13"/>
      <c r="O23" s="276"/>
      <c r="P23" s="268"/>
      <c r="Q23" s="549"/>
      <c r="R23" s="95"/>
      <c r="S23" s="13"/>
      <c r="T23" s="276"/>
      <c r="U23" s="268"/>
      <c r="V23" s="549"/>
      <c r="W23" s="95"/>
      <c r="X23" s="13"/>
      <c r="Y23" s="276"/>
      <c r="Z23" s="268"/>
      <c r="AA23" s="549"/>
      <c r="AB23" s="95"/>
      <c r="AC23" s="13"/>
      <c r="AD23" s="276"/>
      <c r="AE23" s="268"/>
      <c r="AF23" s="529"/>
      <c r="AG23" s="198"/>
      <c r="AH23" s="199"/>
      <c r="AI23" s="200"/>
      <c r="AJ23" s="52"/>
      <c r="AK23" s="91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</row>
    <row r="24" spans="1:87" s="1" customFormat="1" ht="18" hidden="1" customHeight="1">
      <c r="A24" s="540"/>
      <c r="B24" s="543"/>
      <c r="C24" s="3"/>
      <c r="D24" s="4"/>
      <c r="E24" s="73"/>
      <c r="F24" s="52"/>
      <c r="G24" s="546"/>
      <c r="H24" s="95"/>
      <c r="I24" s="13"/>
      <c r="J24" s="276"/>
      <c r="K24" s="268"/>
      <c r="L24" s="549"/>
      <c r="M24" s="95"/>
      <c r="N24" s="13"/>
      <c r="O24" s="276"/>
      <c r="P24" s="268"/>
      <c r="Q24" s="549"/>
      <c r="R24" s="95"/>
      <c r="S24" s="13"/>
      <c r="T24" s="276"/>
      <c r="U24" s="268"/>
      <c r="V24" s="549"/>
      <c r="W24" s="95"/>
      <c r="X24" s="13"/>
      <c r="Y24" s="276"/>
      <c r="Z24" s="268"/>
      <c r="AA24" s="549"/>
      <c r="AB24" s="95"/>
      <c r="AC24" s="13"/>
      <c r="AD24" s="276"/>
      <c r="AE24" s="268"/>
      <c r="AF24" s="529"/>
      <c r="AG24" s="198"/>
      <c r="AH24" s="199"/>
      <c r="AI24" s="200"/>
      <c r="AJ24" s="52"/>
      <c r="AK24" s="91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</row>
    <row r="25" spans="1:87" s="1" customFormat="1" ht="18" hidden="1" customHeight="1">
      <c r="A25" s="540"/>
      <c r="B25" s="543"/>
      <c r="C25" s="3"/>
      <c r="D25" s="4"/>
      <c r="E25" s="73"/>
      <c r="F25" s="52"/>
      <c r="G25" s="546"/>
      <c r="H25" s="95"/>
      <c r="I25" s="13"/>
      <c r="J25" s="276"/>
      <c r="K25" s="268"/>
      <c r="L25" s="549"/>
      <c r="M25" s="95"/>
      <c r="N25" s="13"/>
      <c r="O25" s="276"/>
      <c r="P25" s="268"/>
      <c r="Q25" s="549"/>
      <c r="R25" s="95"/>
      <c r="S25" s="13"/>
      <c r="T25" s="276"/>
      <c r="U25" s="268"/>
      <c r="V25" s="549"/>
      <c r="W25" s="95"/>
      <c r="X25" s="13"/>
      <c r="Y25" s="276"/>
      <c r="Z25" s="268"/>
      <c r="AA25" s="549"/>
      <c r="AB25" s="95"/>
      <c r="AC25" s="13"/>
      <c r="AD25" s="276"/>
      <c r="AE25" s="268"/>
      <c r="AF25" s="529"/>
      <c r="AG25" s="198"/>
      <c r="AH25" s="199"/>
      <c r="AI25" s="200"/>
      <c r="AJ25" s="52"/>
      <c r="AK25" s="91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</row>
    <row r="26" spans="1:87" s="1" customFormat="1" ht="18" hidden="1" customHeight="1">
      <c r="A26" s="540"/>
      <c r="B26" s="543"/>
      <c r="C26" s="3"/>
      <c r="D26" s="4"/>
      <c r="E26" s="73"/>
      <c r="F26" s="52"/>
      <c r="G26" s="546"/>
      <c r="H26" s="95"/>
      <c r="I26" s="13"/>
      <c r="J26" s="276"/>
      <c r="K26" s="268"/>
      <c r="L26" s="549"/>
      <c r="M26" s="95"/>
      <c r="N26" s="13"/>
      <c r="O26" s="276"/>
      <c r="P26" s="268"/>
      <c r="Q26" s="549"/>
      <c r="R26" s="95"/>
      <c r="S26" s="13"/>
      <c r="T26" s="276"/>
      <c r="U26" s="268"/>
      <c r="V26" s="549"/>
      <c r="W26" s="95"/>
      <c r="X26" s="13"/>
      <c r="Y26" s="276"/>
      <c r="Z26" s="268"/>
      <c r="AA26" s="549"/>
      <c r="AB26" s="95"/>
      <c r="AC26" s="13"/>
      <c r="AD26" s="276"/>
      <c r="AE26" s="268"/>
      <c r="AF26" s="529"/>
      <c r="AG26" s="198"/>
      <c r="AH26" s="199"/>
      <c r="AI26" s="200"/>
      <c r="AJ26" s="52"/>
      <c r="AK26" s="91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</row>
    <row r="27" spans="1:87" s="1" customFormat="1" ht="18" hidden="1" customHeight="1">
      <c r="A27" s="540"/>
      <c r="B27" s="543"/>
      <c r="C27" s="3"/>
      <c r="D27" s="4"/>
      <c r="E27" s="73"/>
      <c r="F27" s="52"/>
      <c r="G27" s="546"/>
      <c r="H27" s="95"/>
      <c r="I27" s="13"/>
      <c r="J27" s="276"/>
      <c r="K27" s="268"/>
      <c r="L27" s="549"/>
      <c r="M27" s="95"/>
      <c r="N27" s="13"/>
      <c r="O27" s="276"/>
      <c r="P27" s="268"/>
      <c r="Q27" s="549"/>
      <c r="R27" s="95"/>
      <c r="S27" s="13"/>
      <c r="T27" s="276"/>
      <c r="U27" s="268"/>
      <c r="V27" s="549"/>
      <c r="W27" s="95"/>
      <c r="X27" s="13"/>
      <c r="Y27" s="276"/>
      <c r="Z27" s="268"/>
      <c r="AA27" s="549"/>
      <c r="AB27" s="95"/>
      <c r="AC27" s="13"/>
      <c r="AD27" s="276"/>
      <c r="AE27" s="268"/>
      <c r="AF27" s="529"/>
      <c r="AG27" s="198"/>
      <c r="AH27" s="199"/>
      <c r="AI27" s="200"/>
      <c r="AJ27" s="52"/>
      <c r="AK27" s="91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</row>
    <row r="28" spans="1:87" s="1" customFormat="1" ht="18" hidden="1" customHeight="1">
      <c r="A28" s="540"/>
      <c r="B28" s="543"/>
      <c r="C28" s="3"/>
      <c r="D28" s="4"/>
      <c r="E28" s="73"/>
      <c r="F28" s="52"/>
      <c r="G28" s="546"/>
      <c r="H28" s="95"/>
      <c r="I28" s="13"/>
      <c r="J28" s="276"/>
      <c r="K28" s="268"/>
      <c r="L28" s="549"/>
      <c r="M28" s="95"/>
      <c r="N28" s="13"/>
      <c r="O28" s="276"/>
      <c r="P28" s="268"/>
      <c r="Q28" s="549"/>
      <c r="R28" s="95"/>
      <c r="S28" s="13"/>
      <c r="T28" s="276"/>
      <c r="U28" s="268"/>
      <c r="V28" s="549"/>
      <c r="W28" s="95"/>
      <c r="X28" s="13"/>
      <c r="Y28" s="276"/>
      <c r="Z28" s="268"/>
      <c r="AA28" s="549"/>
      <c r="AB28" s="95"/>
      <c r="AC28" s="13"/>
      <c r="AD28" s="276"/>
      <c r="AE28" s="268"/>
      <c r="AF28" s="529"/>
      <c r="AG28" s="198"/>
      <c r="AH28" s="199"/>
      <c r="AI28" s="200"/>
      <c r="AJ28" s="52"/>
      <c r="AK28" s="91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</row>
    <row r="29" spans="1:87" s="1" customFormat="1" ht="18" hidden="1" customHeight="1">
      <c r="A29" s="540"/>
      <c r="B29" s="543"/>
      <c r="C29" s="3"/>
      <c r="D29" s="4"/>
      <c r="E29" s="73"/>
      <c r="F29" s="52"/>
      <c r="G29" s="546"/>
      <c r="H29" s="95"/>
      <c r="I29" s="13"/>
      <c r="J29" s="276"/>
      <c r="K29" s="268"/>
      <c r="L29" s="549"/>
      <c r="M29" s="95"/>
      <c r="N29" s="13"/>
      <c r="O29" s="276"/>
      <c r="P29" s="268"/>
      <c r="Q29" s="549"/>
      <c r="R29" s="95"/>
      <c r="S29" s="13"/>
      <c r="T29" s="276"/>
      <c r="U29" s="268"/>
      <c r="V29" s="549"/>
      <c r="W29" s="95"/>
      <c r="X29" s="13"/>
      <c r="Y29" s="276"/>
      <c r="Z29" s="268"/>
      <c r="AA29" s="549"/>
      <c r="AB29" s="95"/>
      <c r="AC29" s="13"/>
      <c r="AD29" s="276"/>
      <c r="AE29" s="268"/>
      <c r="AF29" s="529"/>
      <c r="AG29" s="198"/>
      <c r="AH29" s="199"/>
      <c r="AI29" s="200"/>
      <c r="AJ29" s="52"/>
      <c r="AK29" s="91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</row>
    <row r="30" spans="1:87" s="1" customFormat="1" ht="18" hidden="1" customHeight="1">
      <c r="A30" s="540"/>
      <c r="B30" s="543"/>
      <c r="C30" s="3"/>
      <c r="D30" s="4"/>
      <c r="E30" s="73"/>
      <c r="F30" s="52"/>
      <c r="G30" s="546"/>
      <c r="H30" s="95"/>
      <c r="I30" s="13"/>
      <c r="J30" s="276"/>
      <c r="K30" s="268"/>
      <c r="L30" s="549"/>
      <c r="M30" s="95"/>
      <c r="N30" s="13"/>
      <c r="O30" s="276"/>
      <c r="P30" s="268"/>
      <c r="Q30" s="549"/>
      <c r="R30" s="95"/>
      <c r="S30" s="13"/>
      <c r="T30" s="276"/>
      <c r="U30" s="268"/>
      <c r="V30" s="549"/>
      <c r="W30" s="95"/>
      <c r="X30" s="13"/>
      <c r="Y30" s="276"/>
      <c r="Z30" s="268"/>
      <c r="AA30" s="549"/>
      <c r="AB30" s="95"/>
      <c r="AC30" s="13"/>
      <c r="AD30" s="276"/>
      <c r="AE30" s="268"/>
      <c r="AF30" s="529"/>
      <c r="AG30" s="198"/>
      <c r="AH30" s="199"/>
      <c r="AI30" s="200"/>
      <c r="AJ30" s="52"/>
      <c r="AK30" s="91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</row>
    <row r="31" spans="1:87" s="1" customFormat="1" ht="18" hidden="1" customHeight="1">
      <c r="A31" s="540"/>
      <c r="B31" s="543"/>
      <c r="C31" s="3"/>
      <c r="D31" s="4"/>
      <c r="E31" s="73"/>
      <c r="F31" s="52"/>
      <c r="G31" s="546"/>
      <c r="H31" s="95"/>
      <c r="I31" s="13"/>
      <c r="J31" s="276"/>
      <c r="K31" s="268"/>
      <c r="L31" s="549"/>
      <c r="M31" s="95"/>
      <c r="N31" s="13"/>
      <c r="O31" s="276"/>
      <c r="P31" s="268"/>
      <c r="Q31" s="549"/>
      <c r="R31" s="95"/>
      <c r="S31" s="13"/>
      <c r="T31" s="276"/>
      <c r="U31" s="268"/>
      <c r="V31" s="549"/>
      <c r="W31" s="95"/>
      <c r="X31" s="13"/>
      <c r="Y31" s="276"/>
      <c r="Z31" s="268"/>
      <c r="AA31" s="549"/>
      <c r="AB31" s="95"/>
      <c r="AC31" s="13"/>
      <c r="AD31" s="276"/>
      <c r="AE31" s="268"/>
      <c r="AF31" s="529"/>
      <c r="AG31" s="198"/>
      <c r="AH31" s="199"/>
      <c r="AI31" s="200"/>
      <c r="AJ31" s="52"/>
      <c r="AK31" s="9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</row>
    <row r="32" spans="1:87" s="1" customFormat="1" ht="18" hidden="1" customHeight="1">
      <c r="A32" s="540"/>
      <c r="B32" s="543"/>
      <c r="C32" s="3"/>
      <c r="D32" s="4"/>
      <c r="E32" s="73"/>
      <c r="F32" s="52"/>
      <c r="G32" s="546"/>
      <c r="H32" s="95"/>
      <c r="I32" s="13"/>
      <c r="J32" s="276"/>
      <c r="K32" s="268"/>
      <c r="L32" s="549"/>
      <c r="M32" s="95"/>
      <c r="N32" s="13"/>
      <c r="O32" s="276"/>
      <c r="P32" s="268"/>
      <c r="Q32" s="549"/>
      <c r="R32" s="95"/>
      <c r="S32" s="13"/>
      <c r="T32" s="276"/>
      <c r="U32" s="268"/>
      <c r="V32" s="549"/>
      <c r="W32" s="95"/>
      <c r="X32" s="13"/>
      <c r="Y32" s="276"/>
      <c r="Z32" s="268"/>
      <c r="AA32" s="549"/>
      <c r="AB32" s="95"/>
      <c r="AC32" s="13"/>
      <c r="AD32" s="276"/>
      <c r="AE32" s="268"/>
      <c r="AF32" s="529"/>
      <c r="AG32" s="198"/>
      <c r="AH32" s="199"/>
      <c r="AI32" s="200"/>
      <c r="AJ32" s="52"/>
      <c r="AK32" s="91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</row>
    <row r="33" spans="1:87" s="1" customFormat="1" ht="18" hidden="1" customHeight="1">
      <c r="A33" s="541"/>
      <c r="B33" s="544"/>
      <c r="C33" s="6"/>
      <c r="D33" s="5"/>
      <c r="E33" s="74"/>
      <c r="F33" s="53"/>
      <c r="G33" s="547"/>
      <c r="H33" s="95"/>
      <c r="I33" s="13"/>
      <c r="J33" s="276"/>
      <c r="K33" s="268"/>
      <c r="L33" s="550"/>
      <c r="M33" s="95"/>
      <c r="N33" s="13"/>
      <c r="O33" s="276"/>
      <c r="P33" s="269"/>
      <c r="Q33" s="550"/>
      <c r="R33" s="95"/>
      <c r="S33" s="13"/>
      <c r="T33" s="276"/>
      <c r="U33" s="269"/>
      <c r="V33" s="550"/>
      <c r="W33" s="95"/>
      <c r="X33" s="13"/>
      <c r="Y33" s="276"/>
      <c r="Z33" s="269"/>
      <c r="AA33" s="550"/>
      <c r="AB33" s="95"/>
      <c r="AC33" s="13"/>
      <c r="AD33" s="276"/>
      <c r="AE33" s="269"/>
      <c r="AF33" s="530"/>
      <c r="AG33" s="205"/>
      <c r="AH33" s="206"/>
      <c r="AI33" s="207"/>
      <c r="AJ33" s="53"/>
      <c r="AK33" s="91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</row>
    <row r="34" spans="1:87" s="1" customFormat="1" ht="18" customHeight="1">
      <c r="A34" s="539" t="s">
        <v>48</v>
      </c>
      <c r="B34" s="542"/>
      <c r="C34" s="70"/>
      <c r="D34" s="71"/>
      <c r="E34" s="72"/>
      <c r="F34" s="51"/>
      <c r="G34" s="567" t="s">
        <v>201</v>
      </c>
      <c r="H34" s="327" t="s">
        <v>121</v>
      </c>
      <c r="I34" s="9"/>
      <c r="J34" s="253">
        <f>MROUND(75*J$2/1000,3)</f>
        <v>141</v>
      </c>
      <c r="K34" s="332" t="s">
        <v>0</v>
      </c>
      <c r="L34" s="570" t="s">
        <v>302</v>
      </c>
      <c r="M34" s="376" t="s">
        <v>92</v>
      </c>
      <c r="N34" s="377" t="s">
        <v>96</v>
      </c>
      <c r="O34" s="378">
        <f>MROUND(70*O$2/1000,3)</f>
        <v>129</v>
      </c>
      <c r="P34" s="379" t="s">
        <v>0</v>
      </c>
      <c r="Q34" s="572" t="s">
        <v>381</v>
      </c>
      <c r="R34" s="461" t="s">
        <v>83</v>
      </c>
      <c r="S34" s="377"/>
      <c r="T34" s="378">
        <f>ROUND(10*(T$2-73)/1000,0)</f>
        <v>18</v>
      </c>
      <c r="U34" s="377" t="s">
        <v>0</v>
      </c>
      <c r="V34" s="567" t="s">
        <v>180</v>
      </c>
      <c r="W34" s="93" t="s">
        <v>253</v>
      </c>
      <c r="X34" s="9" t="s">
        <v>96</v>
      </c>
      <c r="Y34" s="253">
        <f>ROUND(85*Y$2/1000,0)</f>
        <v>158</v>
      </c>
      <c r="Z34" s="223" t="s">
        <v>0</v>
      </c>
      <c r="AA34" s="567" t="s">
        <v>181</v>
      </c>
      <c r="AB34" s="99" t="s">
        <v>166</v>
      </c>
      <c r="AC34" s="9"/>
      <c r="AD34" s="253">
        <f>AD2*1.02</f>
        <v>1310.7</v>
      </c>
      <c r="AE34" s="279" t="s">
        <v>123</v>
      </c>
      <c r="AF34" s="528"/>
      <c r="AG34" s="191"/>
      <c r="AH34" s="192"/>
      <c r="AI34" s="193"/>
      <c r="AJ34" s="9" t="s">
        <v>0</v>
      </c>
      <c r="AK34" s="91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</row>
    <row r="35" spans="1:87" s="1" customFormat="1" ht="18" customHeight="1">
      <c r="A35" s="540"/>
      <c r="B35" s="543"/>
      <c r="C35" s="3"/>
      <c r="D35" s="4"/>
      <c r="E35" s="73"/>
      <c r="F35" s="52"/>
      <c r="G35" s="568"/>
      <c r="H35" s="208" t="s">
        <v>191</v>
      </c>
      <c r="I35" s="13" t="s">
        <v>97</v>
      </c>
      <c r="J35" s="254">
        <v>2</v>
      </c>
      <c r="K35" s="333" t="s">
        <v>0</v>
      </c>
      <c r="L35" s="571"/>
      <c r="M35" s="373" t="s">
        <v>160</v>
      </c>
      <c r="N35" s="380" t="s">
        <v>149</v>
      </c>
      <c r="O35" s="374">
        <f>ROUND(35*O$2/1000,0)</f>
        <v>65</v>
      </c>
      <c r="P35" s="375" t="s">
        <v>0</v>
      </c>
      <c r="Q35" s="573"/>
      <c r="R35" s="440" t="s">
        <v>92</v>
      </c>
      <c r="S35" s="380" t="s">
        <v>97</v>
      </c>
      <c r="T35" s="374">
        <f>ROUND(35*(T$2-73)/1000,0)</f>
        <v>64</v>
      </c>
      <c r="U35" s="462" t="s">
        <v>0</v>
      </c>
      <c r="V35" s="568"/>
      <c r="W35" s="97" t="s">
        <v>178</v>
      </c>
      <c r="X35" s="13"/>
      <c r="Y35" s="254">
        <f>ROUND(15*Y$2/1000,0)</f>
        <v>28</v>
      </c>
      <c r="Z35" s="255" t="s">
        <v>0</v>
      </c>
      <c r="AA35" s="568"/>
      <c r="AB35" s="328" t="s">
        <v>146</v>
      </c>
      <c r="AC35" s="113"/>
      <c r="AD35" s="256">
        <v>35</v>
      </c>
      <c r="AE35" s="359" t="s">
        <v>123</v>
      </c>
      <c r="AF35" s="529"/>
      <c r="AG35" s="198"/>
      <c r="AH35" s="199"/>
      <c r="AI35" s="200"/>
      <c r="AJ35" s="264" t="s">
        <v>0</v>
      </c>
      <c r="AK35" s="91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</row>
    <row r="36" spans="1:87" s="1" customFormat="1" ht="18" customHeight="1">
      <c r="A36" s="540"/>
      <c r="B36" s="543"/>
      <c r="C36" s="3"/>
      <c r="D36" s="4"/>
      <c r="E36" s="73"/>
      <c r="F36" s="52"/>
      <c r="G36" s="568"/>
      <c r="H36" s="208" t="s">
        <v>204</v>
      </c>
      <c r="I36" s="13"/>
      <c r="J36" s="254">
        <f>ROUND(20*J$2/1000,0)</f>
        <v>37</v>
      </c>
      <c r="K36" s="333" t="s">
        <v>0</v>
      </c>
      <c r="L36" s="571"/>
      <c r="M36" s="373" t="s">
        <v>6</v>
      </c>
      <c r="N36" s="380"/>
      <c r="O36" s="374">
        <f>ROUND(5*O$2/1000,0)</f>
        <v>9</v>
      </c>
      <c r="P36" s="375" t="s">
        <v>0</v>
      </c>
      <c r="Q36" s="573"/>
      <c r="R36" s="440" t="s">
        <v>122</v>
      </c>
      <c r="S36" s="380"/>
      <c r="T36" s="374">
        <f>ROUND(15*(T$2-73)/1000,0)</f>
        <v>27</v>
      </c>
      <c r="U36" s="462" t="s">
        <v>0</v>
      </c>
      <c r="V36" s="568"/>
      <c r="W36" s="97" t="s">
        <v>108</v>
      </c>
      <c r="X36" s="13"/>
      <c r="Y36" s="254">
        <f>ROUND(10*Y$2/1000,0)</f>
        <v>19</v>
      </c>
      <c r="Z36" s="255" t="s">
        <v>0</v>
      </c>
      <c r="AA36" s="568"/>
      <c r="AB36" s="373" t="s">
        <v>361</v>
      </c>
      <c r="AC36" s="380"/>
      <c r="AD36" s="374">
        <v>4</v>
      </c>
      <c r="AE36" s="375" t="s">
        <v>21</v>
      </c>
      <c r="AF36" s="529"/>
      <c r="AG36" s="198"/>
      <c r="AH36" s="199"/>
      <c r="AI36" s="200"/>
      <c r="AJ36" s="264" t="s">
        <v>0</v>
      </c>
      <c r="AK36" s="91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</row>
    <row r="37" spans="1:87" s="1" customFormat="1" ht="18" customHeight="1">
      <c r="A37" s="540"/>
      <c r="B37" s="543"/>
      <c r="C37" s="3"/>
      <c r="D37" s="4"/>
      <c r="E37" s="73"/>
      <c r="F37" s="52"/>
      <c r="G37" s="568"/>
      <c r="H37" s="208" t="s">
        <v>94</v>
      </c>
      <c r="I37" s="13" t="s">
        <v>95</v>
      </c>
      <c r="J37" s="254">
        <v>1</v>
      </c>
      <c r="K37" s="333" t="s">
        <v>0</v>
      </c>
      <c r="L37" s="571"/>
      <c r="M37" s="381" t="s">
        <v>303</v>
      </c>
      <c r="N37" s="382"/>
      <c r="O37" s="383">
        <f>ROUND(75*25/1000,0)</f>
        <v>2</v>
      </c>
      <c r="P37" s="375" t="s">
        <v>0</v>
      </c>
      <c r="Q37" s="573"/>
      <c r="R37" s="440" t="s">
        <v>108</v>
      </c>
      <c r="S37" s="380"/>
      <c r="T37" s="374">
        <f>ROUND(13*(T$2-73)/1000,0)</f>
        <v>24</v>
      </c>
      <c r="U37" s="462" t="s">
        <v>0</v>
      </c>
      <c r="V37" s="568"/>
      <c r="W37" s="97" t="s">
        <v>145</v>
      </c>
      <c r="X37" s="13"/>
      <c r="Y37" s="254">
        <v>3</v>
      </c>
      <c r="Z37" s="255" t="s">
        <v>0</v>
      </c>
      <c r="AA37" s="568"/>
      <c r="AB37" s="373" t="s">
        <v>98</v>
      </c>
      <c r="AC37" s="380"/>
      <c r="AD37" s="374">
        <v>3</v>
      </c>
      <c r="AE37" s="375" t="s">
        <v>0</v>
      </c>
      <c r="AF37" s="529"/>
      <c r="AG37" s="198"/>
      <c r="AH37" s="199"/>
      <c r="AI37" s="200"/>
      <c r="AJ37" s="264" t="s">
        <v>0</v>
      </c>
      <c r="AK37" s="91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</row>
    <row r="38" spans="1:87" s="1" customFormat="1" ht="18" customHeight="1">
      <c r="A38" s="540"/>
      <c r="B38" s="543"/>
      <c r="C38" s="3"/>
      <c r="D38" s="4"/>
      <c r="E38" s="73"/>
      <c r="F38" s="52"/>
      <c r="G38" s="568"/>
      <c r="H38" s="329" t="s">
        <v>167</v>
      </c>
      <c r="I38" s="113"/>
      <c r="J38" s="256">
        <v>2</v>
      </c>
      <c r="K38" s="333" t="s">
        <v>0</v>
      </c>
      <c r="L38" s="571"/>
      <c r="M38" s="373" t="s">
        <v>304</v>
      </c>
      <c r="N38" s="380"/>
      <c r="O38" s="374">
        <v>3</v>
      </c>
      <c r="P38" s="375" t="s">
        <v>0</v>
      </c>
      <c r="Q38" s="573"/>
      <c r="R38" s="440" t="s">
        <v>103</v>
      </c>
      <c r="S38" s="380"/>
      <c r="T38" s="374">
        <f>ROUND(25*(T$2-73)/1000,0)</f>
        <v>46</v>
      </c>
      <c r="U38" s="462" t="s">
        <v>0</v>
      </c>
      <c r="V38" s="568"/>
      <c r="W38" s="97" t="s">
        <v>126</v>
      </c>
      <c r="X38" s="13"/>
      <c r="Y38" s="254">
        <f>ROUND(13*Y$2/1000,0)</f>
        <v>24</v>
      </c>
      <c r="Z38" s="255" t="s">
        <v>0</v>
      </c>
      <c r="AA38" s="568"/>
      <c r="AB38" s="373" t="s">
        <v>304</v>
      </c>
      <c r="AC38" s="380"/>
      <c r="AD38" s="374">
        <v>3</v>
      </c>
      <c r="AE38" s="255" t="s">
        <v>0</v>
      </c>
      <c r="AF38" s="529"/>
      <c r="AG38" s="198"/>
      <c r="AH38" s="199"/>
      <c r="AI38" s="200"/>
      <c r="AJ38" s="264" t="s">
        <v>0</v>
      </c>
      <c r="AK38" s="91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</row>
    <row r="39" spans="1:87" s="1" customFormat="1" ht="18" customHeight="1">
      <c r="A39" s="540"/>
      <c r="B39" s="543"/>
      <c r="C39" s="3"/>
      <c r="D39" s="4"/>
      <c r="E39" s="73"/>
      <c r="F39" s="52"/>
      <c r="G39" s="568"/>
      <c r="H39" s="208"/>
      <c r="I39" s="13"/>
      <c r="J39" s="254"/>
      <c r="K39" s="333" t="s">
        <v>0</v>
      </c>
      <c r="L39" s="571"/>
      <c r="M39" s="373" t="s">
        <v>305</v>
      </c>
      <c r="N39" s="380"/>
      <c r="O39" s="374">
        <v>5</v>
      </c>
      <c r="P39" s="375" t="s">
        <v>0</v>
      </c>
      <c r="Q39" s="573"/>
      <c r="R39" s="440" t="s">
        <v>98</v>
      </c>
      <c r="S39" s="380"/>
      <c r="T39" s="374">
        <v>3</v>
      </c>
      <c r="U39" s="462" t="s">
        <v>0</v>
      </c>
      <c r="V39" s="568"/>
      <c r="W39" s="319" t="s">
        <v>407</v>
      </c>
      <c r="X39" s="113"/>
      <c r="Y39" s="256">
        <v>0.5</v>
      </c>
      <c r="Z39" s="255" t="s">
        <v>0</v>
      </c>
      <c r="AA39" s="568"/>
      <c r="AB39" s="440" t="s">
        <v>363</v>
      </c>
      <c r="AC39" s="380"/>
      <c r="AD39" s="367">
        <v>0.6</v>
      </c>
      <c r="AE39" s="255" t="s">
        <v>0</v>
      </c>
      <c r="AF39" s="529"/>
      <c r="AG39" s="198"/>
      <c r="AH39" s="199"/>
      <c r="AI39" s="200"/>
      <c r="AJ39" s="264" t="s">
        <v>0</v>
      </c>
      <c r="AK39" s="91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</row>
    <row r="40" spans="1:87" s="1" customFormat="1" ht="18" customHeight="1">
      <c r="A40" s="540"/>
      <c r="B40" s="543"/>
      <c r="C40" s="3"/>
      <c r="D40" s="4"/>
      <c r="E40" s="73"/>
      <c r="F40" s="52"/>
      <c r="G40" s="568"/>
      <c r="H40" s="208"/>
      <c r="I40" s="13"/>
      <c r="J40" s="254"/>
      <c r="K40" s="333" t="s">
        <v>0</v>
      </c>
      <c r="L40" s="571"/>
      <c r="M40" s="373"/>
      <c r="N40" s="380"/>
      <c r="O40" s="374"/>
      <c r="P40" s="375" t="s">
        <v>0</v>
      </c>
      <c r="Q40" s="573"/>
      <c r="R40" s="463" t="s">
        <v>143</v>
      </c>
      <c r="S40" s="382"/>
      <c r="T40" s="383">
        <v>1</v>
      </c>
      <c r="U40" s="462" t="s">
        <v>0</v>
      </c>
      <c r="V40" s="568"/>
      <c r="W40" s="319" t="s">
        <v>111</v>
      </c>
      <c r="X40" s="113"/>
      <c r="Y40" s="256">
        <f>ROUND(25*20/1000,1)</f>
        <v>0.5</v>
      </c>
      <c r="Z40" s="255" t="s">
        <v>0</v>
      </c>
      <c r="AA40" s="568"/>
      <c r="AB40" s="95"/>
      <c r="AC40" s="13"/>
      <c r="AD40" s="254"/>
      <c r="AE40" s="255" t="s">
        <v>0</v>
      </c>
      <c r="AF40" s="529"/>
      <c r="AG40" s="198"/>
      <c r="AH40" s="199"/>
      <c r="AI40" s="200"/>
      <c r="AJ40" s="264" t="s">
        <v>0</v>
      </c>
      <c r="AK40" s="91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</row>
    <row r="41" spans="1:87" s="1" customFormat="1" ht="18" customHeight="1">
      <c r="A41" s="540"/>
      <c r="B41" s="543"/>
      <c r="C41" s="3"/>
      <c r="D41" s="4"/>
      <c r="E41" s="73"/>
      <c r="F41" s="52"/>
      <c r="G41" s="568"/>
      <c r="H41" s="208"/>
      <c r="I41" s="13"/>
      <c r="J41" s="254"/>
      <c r="K41" s="333" t="s">
        <v>0</v>
      </c>
      <c r="L41" s="571"/>
      <c r="M41" s="373"/>
      <c r="N41" s="380"/>
      <c r="O41" s="374"/>
      <c r="P41" s="375" t="s">
        <v>0</v>
      </c>
      <c r="Q41" s="573"/>
      <c r="R41" s="463" t="s">
        <v>380</v>
      </c>
      <c r="S41" s="382"/>
      <c r="T41" s="383">
        <f>ROUND(13*25/1000,1)</f>
        <v>0.3</v>
      </c>
      <c r="U41" s="462" t="s">
        <v>0</v>
      </c>
      <c r="V41" s="568"/>
      <c r="W41" s="97"/>
      <c r="X41" s="13"/>
      <c r="Y41" s="254"/>
      <c r="Z41" s="255" t="s">
        <v>0</v>
      </c>
      <c r="AA41" s="568"/>
      <c r="AB41" s="95"/>
      <c r="AC41" s="13"/>
      <c r="AD41" s="254"/>
      <c r="AE41" s="255" t="s">
        <v>0</v>
      </c>
      <c r="AF41" s="529"/>
      <c r="AG41" s="198"/>
      <c r="AH41" s="199"/>
      <c r="AI41" s="200"/>
      <c r="AJ41" s="264" t="s">
        <v>0</v>
      </c>
      <c r="AK41" s="9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</row>
    <row r="42" spans="1:87" s="1" customFormat="1" ht="18" customHeight="1" thickBot="1">
      <c r="A42" s="540"/>
      <c r="B42" s="543"/>
      <c r="C42" s="3"/>
      <c r="D42" s="4"/>
      <c r="E42" s="73"/>
      <c r="F42" s="52"/>
      <c r="G42" s="568"/>
      <c r="H42" s="208"/>
      <c r="I42" s="13"/>
      <c r="J42" s="254"/>
      <c r="K42" s="333" t="s">
        <v>0</v>
      </c>
      <c r="L42" s="571"/>
      <c r="M42" s="384"/>
      <c r="N42" s="385"/>
      <c r="O42" s="374"/>
      <c r="P42" s="386" t="s">
        <v>0</v>
      </c>
      <c r="Q42" s="573"/>
      <c r="R42" s="440"/>
      <c r="S42" s="13"/>
      <c r="T42" s="419"/>
      <c r="U42" s="264" t="s">
        <v>0</v>
      </c>
      <c r="V42" s="568"/>
      <c r="W42" s="94"/>
      <c r="X42" s="14"/>
      <c r="Y42" s="254"/>
      <c r="Z42" s="257" t="s">
        <v>0</v>
      </c>
      <c r="AA42" s="568"/>
      <c r="AB42" s="95"/>
      <c r="AC42" s="13"/>
      <c r="AD42" s="254"/>
      <c r="AE42" s="255" t="s">
        <v>0</v>
      </c>
      <c r="AF42" s="529"/>
      <c r="AG42" s="198"/>
      <c r="AH42" s="199"/>
      <c r="AI42" s="200"/>
      <c r="AJ42" s="185" t="s">
        <v>0</v>
      </c>
      <c r="AK42" s="91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</row>
    <row r="43" spans="1:87" s="1" customFormat="1" ht="18" hidden="1" customHeight="1" thickBot="1">
      <c r="A43" s="540"/>
      <c r="B43" s="543"/>
      <c r="C43" s="3"/>
      <c r="D43" s="4"/>
      <c r="E43" s="73"/>
      <c r="F43" s="52"/>
      <c r="G43" s="568"/>
      <c r="H43" s="208"/>
      <c r="I43" s="13"/>
      <c r="J43" s="254"/>
      <c r="K43" s="257" t="s">
        <v>0</v>
      </c>
      <c r="L43" s="571"/>
      <c r="M43" s="95"/>
      <c r="N43" s="13"/>
      <c r="O43" s="254"/>
      <c r="P43" s="257" t="s">
        <v>0</v>
      </c>
      <c r="Q43" s="573"/>
      <c r="R43" s="95"/>
      <c r="S43" s="13"/>
      <c r="T43" s="419"/>
      <c r="U43" s="264"/>
      <c r="V43" s="568"/>
      <c r="W43" s="95"/>
      <c r="X43" s="13"/>
      <c r="Y43" s="254"/>
      <c r="Z43" s="255"/>
      <c r="AA43" s="568"/>
      <c r="AB43" s="95"/>
      <c r="AC43" s="13"/>
      <c r="AD43" s="254"/>
      <c r="AE43" s="257" t="s">
        <v>0</v>
      </c>
      <c r="AF43" s="529"/>
      <c r="AG43" s="198"/>
      <c r="AH43" s="199"/>
      <c r="AI43" s="200"/>
      <c r="AJ43" s="264"/>
      <c r="AK43" s="91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</row>
    <row r="44" spans="1:87" s="1" customFormat="1" ht="18" hidden="1" customHeight="1">
      <c r="A44" s="540"/>
      <c r="B44" s="543"/>
      <c r="C44" s="3"/>
      <c r="D44" s="4"/>
      <c r="E44" s="73"/>
      <c r="F44" s="52"/>
      <c r="G44" s="568"/>
      <c r="H44" s="208"/>
      <c r="I44" s="13"/>
      <c r="J44" s="254"/>
      <c r="K44" s="333"/>
      <c r="L44" s="571"/>
      <c r="M44" s="95"/>
      <c r="N44" s="13"/>
      <c r="O44" s="254"/>
      <c r="P44" s="333"/>
      <c r="Q44" s="573"/>
      <c r="R44" s="95"/>
      <c r="S44" s="13"/>
      <c r="T44" s="254"/>
      <c r="U44" s="255"/>
      <c r="V44" s="568"/>
      <c r="W44" s="95"/>
      <c r="X44" s="13"/>
      <c r="Y44" s="254"/>
      <c r="Z44" s="255"/>
      <c r="AA44" s="568"/>
      <c r="AB44" s="95"/>
      <c r="AC44" s="13"/>
      <c r="AD44" s="254"/>
      <c r="AE44" s="255"/>
      <c r="AF44" s="529"/>
      <c r="AG44" s="198"/>
      <c r="AH44" s="199"/>
      <c r="AI44" s="200"/>
      <c r="AJ44" s="264"/>
      <c r="AK44" s="91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</row>
    <row r="45" spans="1:87" s="1" customFormat="1" ht="18" hidden="1" customHeight="1">
      <c r="A45" s="540"/>
      <c r="B45" s="543"/>
      <c r="C45" s="3"/>
      <c r="D45" s="4"/>
      <c r="E45" s="73"/>
      <c r="F45" s="52"/>
      <c r="G45" s="568"/>
      <c r="H45" s="208"/>
      <c r="I45" s="13"/>
      <c r="J45" s="254"/>
      <c r="K45" s="333"/>
      <c r="L45" s="571"/>
      <c r="M45" s="95"/>
      <c r="N45" s="13"/>
      <c r="O45" s="254"/>
      <c r="P45" s="333"/>
      <c r="Q45" s="573"/>
      <c r="R45" s="95"/>
      <c r="S45" s="13"/>
      <c r="T45" s="254"/>
      <c r="U45" s="255"/>
      <c r="V45" s="568"/>
      <c r="W45" s="95"/>
      <c r="X45" s="13"/>
      <c r="Y45" s="254"/>
      <c r="Z45" s="255"/>
      <c r="AA45" s="568"/>
      <c r="AB45" s="95"/>
      <c r="AC45" s="13"/>
      <c r="AD45" s="254"/>
      <c r="AE45" s="255"/>
      <c r="AF45" s="529"/>
      <c r="AG45" s="198"/>
      <c r="AH45" s="199"/>
      <c r="AI45" s="200"/>
      <c r="AJ45" s="264"/>
      <c r="AK45" s="91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</row>
    <row r="46" spans="1:87" s="1" customFormat="1" ht="18" hidden="1" customHeight="1">
      <c r="A46" s="540"/>
      <c r="B46" s="543"/>
      <c r="C46" s="3"/>
      <c r="D46" s="4"/>
      <c r="E46" s="73"/>
      <c r="F46" s="52"/>
      <c r="G46" s="568"/>
      <c r="H46" s="208"/>
      <c r="I46" s="13"/>
      <c r="J46" s="254"/>
      <c r="K46" s="333"/>
      <c r="L46" s="571"/>
      <c r="M46" s="95"/>
      <c r="N46" s="13"/>
      <c r="O46" s="254"/>
      <c r="P46" s="333"/>
      <c r="Q46" s="573"/>
      <c r="R46" s="95"/>
      <c r="S46" s="13"/>
      <c r="T46" s="254"/>
      <c r="U46" s="255"/>
      <c r="V46" s="568"/>
      <c r="W46" s="95"/>
      <c r="X46" s="13"/>
      <c r="Y46" s="254"/>
      <c r="Z46" s="255"/>
      <c r="AA46" s="568"/>
      <c r="AB46" s="95"/>
      <c r="AC46" s="13"/>
      <c r="AD46" s="254"/>
      <c r="AE46" s="255"/>
      <c r="AF46" s="529"/>
      <c r="AG46" s="198"/>
      <c r="AH46" s="199"/>
      <c r="AI46" s="200"/>
      <c r="AJ46" s="264"/>
      <c r="AK46" s="91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</row>
    <row r="47" spans="1:87" s="1" customFormat="1" ht="18" hidden="1" customHeight="1">
      <c r="A47" s="540"/>
      <c r="B47" s="543"/>
      <c r="C47" s="3"/>
      <c r="D47" s="4"/>
      <c r="E47" s="73"/>
      <c r="F47" s="52"/>
      <c r="G47" s="568"/>
      <c r="H47" s="208"/>
      <c r="I47" s="13"/>
      <c r="J47" s="254"/>
      <c r="K47" s="333"/>
      <c r="L47" s="571"/>
      <c r="M47" s="95"/>
      <c r="N47" s="13"/>
      <c r="O47" s="254"/>
      <c r="P47" s="333"/>
      <c r="Q47" s="573"/>
      <c r="R47" s="95"/>
      <c r="S47" s="13"/>
      <c r="T47" s="254"/>
      <c r="U47" s="255"/>
      <c r="V47" s="568"/>
      <c r="W47" s="95"/>
      <c r="X47" s="13"/>
      <c r="Y47" s="254"/>
      <c r="Z47" s="255"/>
      <c r="AA47" s="568"/>
      <c r="AB47" s="95"/>
      <c r="AC47" s="13"/>
      <c r="AD47" s="254"/>
      <c r="AE47" s="255"/>
      <c r="AF47" s="529"/>
      <c r="AG47" s="198"/>
      <c r="AH47" s="199"/>
      <c r="AI47" s="200"/>
      <c r="AJ47" s="264"/>
      <c r="AK47" s="91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</row>
    <row r="48" spans="1:87" s="1" customFormat="1" ht="18" hidden="1" customHeight="1">
      <c r="A48" s="541"/>
      <c r="B48" s="544"/>
      <c r="C48" s="6"/>
      <c r="D48" s="5"/>
      <c r="E48" s="74"/>
      <c r="F48" s="53"/>
      <c r="G48" s="569"/>
      <c r="H48" s="208"/>
      <c r="I48" s="13"/>
      <c r="J48" s="254"/>
      <c r="K48" s="336"/>
      <c r="L48" s="571"/>
      <c r="M48" s="95"/>
      <c r="N48" s="13"/>
      <c r="O48" s="254"/>
      <c r="P48" s="336"/>
      <c r="Q48" s="574"/>
      <c r="R48" s="95"/>
      <c r="S48" s="13"/>
      <c r="T48" s="254"/>
      <c r="U48" s="257"/>
      <c r="V48" s="569"/>
      <c r="W48" s="95"/>
      <c r="X48" s="13"/>
      <c r="Y48" s="254"/>
      <c r="Z48" s="257"/>
      <c r="AA48" s="569"/>
      <c r="AB48" s="95"/>
      <c r="AC48" s="13"/>
      <c r="AD48" s="254"/>
      <c r="AE48" s="257"/>
      <c r="AF48" s="530"/>
      <c r="AG48" s="205"/>
      <c r="AH48" s="206"/>
      <c r="AI48" s="207"/>
      <c r="AJ48" s="185"/>
      <c r="AK48" s="91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</row>
    <row r="49" spans="1:87" s="1" customFormat="1" ht="18" customHeight="1">
      <c r="A49" s="539" t="s">
        <v>49</v>
      </c>
      <c r="B49" s="542"/>
      <c r="C49" s="70"/>
      <c r="D49" s="71"/>
      <c r="E49" s="72"/>
      <c r="F49" s="51"/>
      <c r="G49" s="561"/>
      <c r="H49" s="575" t="s">
        <v>399</v>
      </c>
      <c r="I49" s="581"/>
      <c r="J49" s="581"/>
      <c r="K49" s="582"/>
      <c r="L49" s="561"/>
      <c r="M49" s="575" t="s">
        <v>400</v>
      </c>
      <c r="N49" s="581"/>
      <c r="O49" s="581"/>
      <c r="P49" s="582"/>
      <c r="Q49" s="564" t="s">
        <v>390</v>
      </c>
      <c r="R49" s="461" t="s">
        <v>390</v>
      </c>
      <c r="S49" s="377"/>
      <c r="T49" s="369">
        <f>T2*1.03</f>
        <v>1957</v>
      </c>
      <c r="U49" s="464" t="s">
        <v>135</v>
      </c>
      <c r="V49" s="561"/>
      <c r="W49" s="575" t="s">
        <v>401</v>
      </c>
      <c r="X49" s="581"/>
      <c r="Y49" s="581"/>
      <c r="Z49" s="582"/>
      <c r="AA49" s="561"/>
      <c r="AB49" s="575" t="s">
        <v>402</v>
      </c>
      <c r="AC49" s="576"/>
      <c r="AD49" s="576"/>
      <c r="AE49" s="577"/>
      <c r="AF49" s="528"/>
      <c r="AG49" s="191"/>
      <c r="AH49" s="192"/>
      <c r="AI49" s="193"/>
      <c r="AJ49" s="34"/>
      <c r="AK49" s="91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</row>
    <row r="50" spans="1:87" s="1" customFormat="1" ht="18" customHeight="1">
      <c r="A50" s="540"/>
      <c r="B50" s="543"/>
      <c r="C50" s="3"/>
      <c r="D50" s="4"/>
      <c r="E50" s="73"/>
      <c r="F50" s="52"/>
      <c r="G50" s="562"/>
      <c r="H50" s="583"/>
      <c r="I50" s="584"/>
      <c r="J50" s="584"/>
      <c r="K50" s="585"/>
      <c r="L50" s="562"/>
      <c r="M50" s="583"/>
      <c r="N50" s="584"/>
      <c r="O50" s="584"/>
      <c r="P50" s="585"/>
      <c r="Q50" s="565"/>
      <c r="R50" s="463" t="s">
        <v>391</v>
      </c>
      <c r="S50" s="382"/>
      <c r="T50" s="465">
        <v>35</v>
      </c>
      <c r="U50" s="448" t="s">
        <v>135</v>
      </c>
      <c r="V50" s="562"/>
      <c r="W50" s="583"/>
      <c r="X50" s="584"/>
      <c r="Y50" s="584"/>
      <c r="Z50" s="585"/>
      <c r="AA50" s="562"/>
      <c r="AB50" s="578"/>
      <c r="AC50" s="579"/>
      <c r="AD50" s="579"/>
      <c r="AE50" s="580"/>
      <c r="AF50" s="529"/>
      <c r="AG50" s="198"/>
      <c r="AH50" s="199"/>
      <c r="AI50" s="200"/>
      <c r="AJ50" s="35"/>
      <c r="AK50" s="91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</row>
    <row r="51" spans="1:87" s="1" customFormat="1" ht="18" customHeight="1">
      <c r="A51" s="540"/>
      <c r="B51" s="543"/>
      <c r="C51" s="3"/>
      <c r="D51" s="4"/>
      <c r="E51" s="73"/>
      <c r="F51" s="52"/>
      <c r="G51" s="562"/>
      <c r="H51" s="583"/>
      <c r="I51" s="584"/>
      <c r="J51" s="584"/>
      <c r="K51" s="585"/>
      <c r="L51" s="562"/>
      <c r="M51" s="583"/>
      <c r="N51" s="584"/>
      <c r="O51" s="584"/>
      <c r="P51" s="585"/>
      <c r="Q51" s="565"/>
      <c r="R51" s="95"/>
      <c r="S51" s="13"/>
      <c r="T51" s="254"/>
      <c r="U51" s="255"/>
      <c r="V51" s="562"/>
      <c r="W51" s="583"/>
      <c r="X51" s="584"/>
      <c r="Y51" s="584"/>
      <c r="Z51" s="585"/>
      <c r="AA51" s="562"/>
      <c r="AB51" s="578"/>
      <c r="AC51" s="579"/>
      <c r="AD51" s="579"/>
      <c r="AE51" s="580"/>
      <c r="AF51" s="529"/>
      <c r="AG51" s="198"/>
      <c r="AH51" s="199"/>
      <c r="AI51" s="200"/>
      <c r="AJ51" s="35"/>
      <c r="AK51" s="9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</row>
    <row r="52" spans="1:87" s="1" customFormat="1" ht="18" customHeight="1">
      <c r="A52" s="540"/>
      <c r="B52" s="543"/>
      <c r="C52" s="3"/>
      <c r="D52" s="4"/>
      <c r="E52" s="73"/>
      <c r="F52" s="52"/>
      <c r="G52" s="562"/>
      <c r="H52" s="583"/>
      <c r="I52" s="584"/>
      <c r="J52" s="584"/>
      <c r="K52" s="585"/>
      <c r="L52" s="562"/>
      <c r="M52" s="583"/>
      <c r="N52" s="584"/>
      <c r="O52" s="584"/>
      <c r="P52" s="585"/>
      <c r="Q52" s="565"/>
      <c r="R52" s="95"/>
      <c r="S52" s="13"/>
      <c r="T52" s="254"/>
      <c r="U52" s="255"/>
      <c r="V52" s="562"/>
      <c r="W52" s="583"/>
      <c r="X52" s="584"/>
      <c r="Y52" s="584"/>
      <c r="Z52" s="585"/>
      <c r="AA52" s="562"/>
      <c r="AB52" s="578"/>
      <c r="AC52" s="579"/>
      <c r="AD52" s="579"/>
      <c r="AE52" s="580"/>
      <c r="AF52" s="529"/>
      <c r="AG52" s="198"/>
      <c r="AH52" s="199"/>
      <c r="AI52" s="200"/>
      <c r="AJ52" s="35"/>
      <c r="AK52" s="91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</row>
    <row r="53" spans="1:87" s="1" customFormat="1" ht="18" customHeight="1" thickBot="1">
      <c r="A53" s="540"/>
      <c r="B53" s="543"/>
      <c r="C53" s="3"/>
      <c r="D53" s="4"/>
      <c r="E53" s="73"/>
      <c r="F53" s="52"/>
      <c r="G53" s="562"/>
      <c r="H53" s="97"/>
      <c r="I53" s="13"/>
      <c r="J53" s="254"/>
      <c r="K53" s="255"/>
      <c r="L53" s="562"/>
      <c r="M53" s="95"/>
      <c r="N53" s="13"/>
      <c r="O53" s="254"/>
      <c r="P53" s="255"/>
      <c r="Q53" s="565"/>
      <c r="R53" s="95"/>
      <c r="S53" s="13"/>
      <c r="T53" s="254"/>
      <c r="U53" s="255"/>
      <c r="V53" s="562"/>
      <c r="W53" s="95"/>
      <c r="X53" s="13"/>
      <c r="Y53" s="254"/>
      <c r="Z53" s="255"/>
      <c r="AA53" s="562"/>
      <c r="AB53" s="95"/>
      <c r="AC53" s="13"/>
      <c r="AD53" s="254"/>
      <c r="AE53" s="255"/>
      <c r="AF53" s="529"/>
      <c r="AG53" s="198"/>
      <c r="AH53" s="199"/>
      <c r="AI53" s="200"/>
      <c r="AJ53" s="35"/>
      <c r="AK53" s="91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</row>
    <row r="54" spans="1:87" s="1" customFormat="1" ht="18" hidden="1" customHeight="1">
      <c r="A54" s="540"/>
      <c r="B54" s="543"/>
      <c r="C54" s="3"/>
      <c r="D54" s="4"/>
      <c r="E54" s="73"/>
      <c r="F54" s="52"/>
      <c r="G54" s="562"/>
      <c r="H54" s="97"/>
      <c r="I54" s="13"/>
      <c r="J54" s="254"/>
      <c r="K54" s="255"/>
      <c r="L54" s="562"/>
      <c r="M54" s="95"/>
      <c r="N54" s="13"/>
      <c r="O54" s="254"/>
      <c r="P54" s="255"/>
      <c r="Q54" s="565"/>
      <c r="R54" s="95"/>
      <c r="S54" s="13"/>
      <c r="T54" s="254"/>
      <c r="U54" s="255"/>
      <c r="V54" s="562"/>
      <c r="W54" s="95"/>
      <c r="X54" s="13"/>
      <c r="Y54" s="254"/>
      <c r="Z54" s="255"/>
      <c r="AA54" s="562"/>
      <c r="AB54" s="95"/>
      <c r="AC54" s="13"/>
      <c r="AD54" s="254"/>
      <c r="AE54" s="255"/>
      <c r="AF54" s="529"/>
      <c r="AG54" s="198"/>
      <c r="AH54" s="199"/>
      <c r="AI54" s="200"/>
      <c r="AJ54" s="35"/>
      <c r="AK54" s="91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</row>
    <row r="55" spans="1:87" s="1" customFormat="1" ht="18" hidden="1" customHeight="1">
      <c r="A55" s="540"/>
      <c r="B55" s="543"/>
      <c r="C55" s="3"/>
      <c r="D55" s="4"/>
      <c r="E55" s="73"/>
      <c r="F55" s="52"/>
      <c r="G55" s="562"/>
      <c r="H55" s="97"/>
      <c r="I55" s="13"/>
      <c r="J55" s="254"/>
      <c r="K55" s="255"/>
      <c r="L55" s="562"/>
      <c r="M55" s="95"/>
      <c r="N55" s="13"/>
      <c r="O55" s="254"/>
      <c r="P55" s="255"/>
      <c r="Q55" s="565"/>
      <c r="R55" s="95"/>
      <c r="S55" s="13"/>
      <c r="T55" s="254"/>
      <c r="U55" s="255"/>
      <c r="V55" s="562"/>
      <c r="W55" s="95"/>
      <c r="X55" s="13"/>
      <c r="Y55" s="254"/>
      <c r="Z55" s="255"/>
      <c r="AA55" s="562"/>
      <c r="AB55" s="95"/>
      <c r="AC55" s="13"/>
      <c r="AD55" s="254"/>
      <c r="AE55" s="255"/>
      <c r="AF55" s="529"/>
      <c r="AG55" s="198"/>
      <c r="AH55" s="199"/>
      <c r="AI55" s="200"/>
      <c r="AJ55" s="35"/>
      <c r="AK55" s="91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</row>
    <row r="56" spans="1:87" s="1" customFormat="1" ht="18" hidden="1" customHeight="1">
      <c r="A56" s="540"/>
      <c r="B56" s="543"/>
      <c r="C56" s="3"/>
      <c r="D56" s="4"/>
      <c r="E56" s="73"/>
      <c r="F56" s="52"/>
      <c r="G56" s="562"/>
      <c r="H56" s="97"/>
      <c r="I56" s="13"/>
      <c r="J56" s="254"/>
      <c r="K56" s="255"/>
      <c r="L56" s="562"/>
      <c r="M56" s="95"/>
      <c r="N56" s="13"/>
      <c r="O56" s="254"/>
      <c r="P56" s="255"/>
      <c r="Q56" s="565"/>
      <c r="R56" s="95"/>
      <c r="S56" s="13"/>
      <c r="T56" s="254"/>
      <c r="U56" s="255"/>
      <c r="V56" s="562"/>
      <c r="W56" s="95"/>
      <c r="X56" s="13"/>
      <c r="Y56" s="254"/>
      <c r="Z56" s="255"/>
      <c r="AA56" s="562"/>
      <c r="AB56" s="95"/>
      <c r="AC56" s="13"/>
      <c r="AD56" s="254"/>
      <c r="AE56" s="255"/>
      <c r="AF56" s="529"/>
      <c r="AG56" s="198"/>
      <c r="AH56" s="199"/>
      <c r="AI56" s="200"/>
      <c r="AJ56" s="35"/>
      <c r="AK56" s="91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</row>
    <row r="57" spans="1:87" s="1" customFormat="1" ht="18" hidden="1" customHeight="1" thickBot="1">
      <c r="A57" s="540"/>
      <c r="B57" s="543"/>
      <c r="C57" s="3"/>
      <c r="D57" s="4"/>
      <c r="E57" s="73"/>
      <c r="F57" s="52"/>
      <c r="G57" s="562"/>
      <c r="H57" s="97"/>
      <c r="I57" s="13"/>
      <c r="J57" s="254"/>
      <c r="K57" s="255"/>
      <c r="L57" s="562"/>
      <c r="M57" s="95"/>
      <c r="N57" s="13"/>
      <c r="O57" s="254"/>
      <c r="P57" s="255"/>
      <c r="Q57" s="565"/>
      <c r="R57" s="95"/>
      <c r="S57" s="13"/>
      <c r="T57" s="254"/>
      <c r="U57" s="255"/>
      <c r="V57" s="562"/>
      <c r="W57" s="95"/>
      <c r="X57" s="13"/>
      <c r="Y57" s="254"/>
      <c r="Z57" s="255"/>
      <c r="AA57" s="562"/>
      <c r="AB57" s="95"/>
      <c r="AC57" s="13"/>
      <c r="AD57" s="254"/>
      <c r="AE57" s="255"/>
      <c r="AF57" s="529"/>
      <c r="AG57" s="198"/>
      <c r="AH57" s="199"/>
      <c r="AI57" s="200"/>
      <c r="AJ57" s="54"/>
      <c r="AK57" s="91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</row>
    <row r="58" spans="1:87" s="1" customFormat="1" ht="18" hidden="1" customHeight="1">
      <c r="A58" s="540"/>
      <c r="B58" s="543"/>
      <c r="C58" s="3"/>
      <c r="D58" s="4"/>
      <c r="E58" s="73"/>
      <c r="F58" s="52"/>
      <c r="G58" s="562"/>
      <c r="H58" s="97"/>
      <c r="I58" s="13"/>
      <c r="J58" s="254"/>
      <c r="K58" s="255"/>
      <c r="L58" s="562"/>
      <c r="M58" s="95"/>
      <c r="N58" s="13"/>
      <c r="O58" s="254"/>
      <c r="P58" s="255"/>
      <c r="Q58" s="565"/>
      <c r="R58" s="95"/>
      <c r="S58" s="13"/>
      <c r="T58" s="254"/>
      <c r="U58" s="255"/>
      <c r="V58" s="562"/>
      <c r="W58" s="95"/>
      <c r="X58" s="13"/>
      <c r="Y58" s="254"/>
      <c r="Z58" s="255"/>
      <c r="AA58" s="562"/>
      <c r="AB58" s="95"/>
      <c r="AC58" s="13"/>
      <c r="AD58" s="254"/>
      <c r="AE58" s="255"/>
      <c r="AF58" s="529"/>
      <c r="AG58" s="198"/>
      <c r="AH58" s="199"/>
      <c r="AI58" s="200"/>
      <c r="AJ58" s="35"/>
      <c r="AK58" s="91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</row>
    <row r="59" spans="1:87" s="1" customFormat="1" ht="18" hidden="1" customHeight="1">
      <c r="A59" s="540"/>
      <c r="B59" s="543"/>
      <c r="C59" s="3"/>
      <c r="D59" s="4"/>
      <c r="E59" s="73"/>
      <c r="F59" s="52"/>
      <c r="G59" s="562"/>
      <c r="H59" s="97"/>
      <c r="I59" s="13"/>
      <c r="J59" s="254"/>
      <c r="K59" s="255"/>
      <c r="L59" s="562"/>
      <c r="M59" s="95"/>
      <c r="N59" s="13"/>
      <c r="O59" s="254"/>
      <c r="P59" s="255"/>
      <c r="Q59" s="565"/>
      <c r="R59" s="95"/>
      <c r="S59" s="13"/>
      <c r="T59" s="254"/>
      <c r="U59" s="255"/>
      <c r="V59" s="562"/>
      <c r="W59" s="95"/>
      <c r="X59" s="13"/>
      <c r="Y59" s="254"/>
      <c r="Z59" s="255"/>
      <c r="AA59" s="562"/>
      <c r="AB59" s="95"/>
      <c r="AC59" s="13"/>
      <c r="AD59" s="254"/>
      <c r="AE59" s="255"/>
      <c r="AF59" s="529"/>
      <c r="AG59" s="198"/>
      <c r="AH59" s="199"/>
      <c r="AI59" s="200"/>
      <c r="AJ59" s="35"/>
      <c r="AK59" s="91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</row>
    <row r="60" spans="1:87" s="1" customFormat="1" ht="18" hidden="1" customHeight="1">
      <c r="A60" s="540"/>
      <c r="B60" s="543"/>
      <c r="C60" s="3"/>
      <c r="D60" s="4"/>
      <c r="E60" s="73"/>
      <c r="F60" s="52"/>
      <c r="G60" s="562"/>
      <c r="H60" s="97"/>
      <c r="I60" s="13"/>
      <c r="J60" s="254"/>
      <c r="K60" s="255"/>
      <c r="L60" s="562"/>
      <c r="M60" s="95"/>
      <c r="N60" s="13"/>
      <c r="O60" s="254"/>
      <c r="P60" s="255"/>
      <c r="Q60" s="565"/>
      <c r="R60" s="95"/>
      <c r="S60" s="13"/>
      <c r="T60" s="254"/>
      <c r="U60" s="255"/>
      <c r="V60" s="562"/>
      <c r="W60" s="95"/>
      <c r="X60" s="13"/>
      <c r="Y60" s="254"/>
      <c r="Z60" s="255"/>
      <c r="AA60" s="562"/>
      <c r="AB60" s="95"/>
      <c r="AC60" s="13"/>
      <c r="AD60" s="254"/>
      <c r="AE60" s="255"/>
      <c r="AF60" s="529"/>
      <c r="AG60" s="198"/>
      <c r="AH60" s="199"/>
      <c r="AI60" s="200"/>
      <c r="AJ60" s="35"/>
      <c r="AK60" s="91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</row>
    <row r="61" spans="1:87" s="1" customFormat="1" ht="18" hidden="1" customHeight="1">
      <c r="A61" s="540"/>
      <c r="B61" s="543"/>
      <c r="C61" s="3"/>
      <c r="D61" s="4"/>
      <c r="E61" s="73"/>
      <c r="F61" s="52"/>
      <c r="G61" s="562"/>
      <c r="H61" s="97"/>
      <c r="I61" s="13"/>
      <c r="J61" s="254"/>
      <c r="K61" s="255"/>
      <c r="L61" s="562"/>
      <c r="M61" s="95"/>
      <c r="N61" s="13"/>
      <c r="O61" s="254"/>
      <c r="P61" s="255"/>
      <c r="Q61" s="565"/>
      <c r="R61" s="95"/>
      <c r="S61" s="13"/>
      <c r="T61" s="254"/>
      <c r="U61" s="255"/>
      <c r="V61" s="562"/>
      <c r="W61" s="95"/>
      <c r="X61" s="13"/>
      <c r="Y61" s="254"/>
      <c r="Z61" s="255"/>
      <c r="AA61" s="562"/>
      <c r="AB61" s="95"/>
      <c r="AC61" s="13"/>
      <c r="AD61" s="254"/>
      <c r="AE61" s="255"/>
      <c r="AF61" s="529"/>
      <c r="AG61" s="198"/>
      <c r="AH61" s="199"/>
      <c r="AI61" s="200"/>
      <c r="AJ61" s="35"/>
      <c r="AK61" s="9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</row>
    <row r="62" spans="1:87" s="1" customFormat="1" ht="18" hidden="1" customHeight="1">
      <c r="A62" s="540"/>
      <c r="B62" s="543"/>
      <c r="C62" s="3"/>
      <c r="D62" s="4"/>
      <c r="E62" s="73"/>
      <c r="F62" s="52"/>
      <c r="G62" s="562"/>
      <c r="H62" s="97"/>
      <c r="I62" s="13"/>
      <c r="J62" s="254"/>
      <c r="K62" s="255"/>
      <c r="L62" s="562"/>
      <c r="M62" s="95"/>
      <c r="N62" s="13"/>
      <c r="O62" s="254"/>
      <c r="P62" s="255"/>
      <c r="Q62" s="565"/>
      <c r="R62" s="95"/>
      <c r="S62" s="13"/>
      <c r="T62" s="254"/>
      <c r="U62" s="255"/>
      <c r="V62" s="562"/>
      <c r="W62" s="95"/>
      <c r="X62" s="13"/>
      <c r="Y62" s="254"/>
      <c r="Z62" s="255"/>
      <c r="AA62" s="562"/>
      <c r="AB62" s="95"/>
      <c r="AC62" s="13"/>
      <c r="AD62" s="254"/>
      <c r="AE62" s="255"/>
      <c r="AF62" s="529"/>
      <c r="AG62" s="198"/>
      <c r="AH62" s="199"/>
      <c r="AI62" s="200"/>
      <c r="AJ62" s="35"/>
      <c r="AK62" s="91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</row>
    <row r="63" spans="1:87" s="1" customFormat="1" ht="18" hidden="1" customHeight="1" thickBot="1">
      <c r="A63" s="541"/>
      <c r="B63" s="544"/>
      <c r="C63" s="6"/>
      <c r="D63" s="5"/>
      <c r="E63" s="74"/>
      <c r="F63" s="53"/>
      <c r="G63" s="563"/>
      <c r="H63" s="94"/>
      <c r="I63" s="14"/>
      <c r="J63" s="261"/>
      <c r="K63" s="257"/>
      <c r="L63" s="563"/>
      <c r="M63" s="96"/>
      <c r="N63" s="14"/>
      <c r="O63" s="261"/>
      <c r="P63" s="257"/>
      <c r="Q63" s="566"/>
      <c r="R63" s="96"/>
      <c r="S63" s="14"/>
      <c r="T63" s="261"/>
      <c r="U63" s="257"/>
      <c r="V63" s="563"/>
      <c r="W63" s="96"/>
      <c r="X63" s="14"/>
      <c r="Y63" s="261"/>
      <c r="Z63" s="257"/>
      <c r="AA63" s="563"/>
      <c r="AB63" s="96"/>
      <c r="AC63" s="14"/>
      <c r="AD63" s="261"/>
      <c r="AE63" s="257"/>
      <c r="AF63" s="530"/>
      <c r="AG63" s="205"/>
      <c r="AH63" s="206"/>
      <c r="AI63" s="207"/>
      <c r="AJ63" s="54"/>
      <c r="AK63" s="91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</row>
    <row r="64" spans="1:87" s="1" customFormat="1" ht="18" hidden="1" customHeight="1">
      <c r="A64" s="539" t="s">
        <v>50</v>
      </c>
      <c r="B64" s="542"/>
      <c r="C64" s="70"/>
      <c r="D64" s="71"/>
      <c r="E64" s="72"/>
      <c r="F64" s="51"/>
      <c r="G64" s="586"/>
      <c r="H64" s="95"/>
      <c r="I64" s="13"/>
      <c r="J64" s="254"/>
      <c r="K64" s="255"/>
      <c r="L64" s="562"/>
      <c r="M64" s="95"/>
      <c r="N64" s="13"/>
      <c r="O64" s="254"/>
      <c r="P64" s="255"/>
      <c r="Q64" s="562"/>
      <c r="R64" s="95"/>
      <c r="S64" s="13"/>
      <c r="T64" s="254"/>
      <c r="U64" s="255"/>
      <c r="V64" s="562"/>
      <c r="W64" s="95"/>
      <c r="X64" s="13"/>
      <c r="Y64" s="254"/>
      <c r="Z64" s="255"/>
      <c r="AA64" s="562"/>
      <c r="AB64" s="95"/>
      <c r="AC64" s="13"/>
      <c r="AD64" s="254"/>
      <c r="AE64" s="255"/>
      <c r="AF64" s="528"/>
      <c r="AG64" s="191"/>
      <c r="AH64" s="192"/>
      <c r="AI64" s="193"/>
      <c r="AJ64" s="55"/>
      <c r="AK64" s="91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</row>
    <row r="65" spans="1:87" s="1" customFormat="1" ht="18" hidden="1" customHeight="1">
      <c r="A65" s="540"/>
      <c r="B65" s="543"/>
      <c r="C65" s="3"/>
      <c r="D65" s="4"/>
      <c r="E65" s="73"/>
      <c r="F65" s="52"/>
      <c r="G65" s="587"/>
      <c r="H65" s="95"/>
      <c r="I65" s="13"/>
      <c r="J65" s="254"/>
      <c r="K65" s="255"/>
      <c r="L65" s="562"/>
      <c r="M65" s="95"/>
      <c r="N65" s="13"/>
      <c r="O65" s="254"/>
      <c r="P65" s="255"/>
      <c r="Q65" s="562"/>
      <c r="R65" s="95"/>
      <c r="S65" s="13"/>
      <c r="T65" s="254"/>
      <c r="U65" s="255"/>
      <c r="V65" s="562"/>
      <c r="W65" s="95"/>
      <c r="X65" s="13"/>
      <c r="Y65" s="254"/>
      <c r="Z65" s="255"/>
      <c r="AA65" s="562"/>
      <c r="AB65" s="95"/>
      <c r="AC65" s="13"/>
      <c r="AD65" s="254"/>
      <c r="AE65" s="255"/>
      <c r="AF65" s="529"/>
      <c r="AG65" s="198"/>
      <c r="AH65" s="199"/>
      <c r="AI65" s="200"/>
      <c r="AJ65" s="35"/>
      <c r="AK65" s="91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</row>
    <row r="66" spans="1:87" s="1" customFormat="1" ht="18" hidden="1" customHeight="1">
      <c r="A66" s="540"/>
      <c r="B66" s="543"/>
      <c r="C66" s="3"/>
      <c r="D66" s="4"/>
      <c r="E66" s="73"/>
      <c r="F66" s="52"/>
      <c r="G66" s="587"/>
      <c r="H66" s="95"/>
      <c r="I66" s="13"/>
      <c r="J66" s="254"/>
      <c r="K66" s="255"/>
      <c r="L66" s="562"/>
      <c r="M66" s="95"/>
      <c r="N66" s="13"/>
      <c r="O66" s="254"/>
      <c r="P66" s="255"/>
      <c r="Q66" s="562"/>
      <c r="R66" s="95"/>
      <c r="S66" s="13"/>
      <c r="T66" s="254"/>
      <c r="U66" s="255"/>
      <c r="V66" s="562"/>
      <c r="W66" s="95"/>
      <c r="X66" s="13"/>
      <c r="Y66" s="254"/>
      <c r="Z66" s="255"/>
      <c r="AA66" s="562"/>
      <c r="AB66" s="95"/>
      <c r="AC66" s="13"/>
      <c r="AD66" s="254"/>
      <c r="AE66" s="255"/>
      <c r="AF66" s="529"/>
      <c r="AG66" s="198"/>
      <c r="AH66" s="199"/>
      <c r="AI66" s="200"/>
      <c r="AJ66" s="35"/>
      <c r="AK66" s="91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</row>
    <row r="67" spans="1:87" s="1" customFormat="1" ht="18" hidden="1" customHeight="1">
      <c r="A67" s="540"/>
      <c r="B67" s="543"/>
      <c r="C67" s="3"/>
      <c r="D67" s="4"/>
      <c r="E67" s="73"/>
      <c r="F67" s="52"/>
      <c r="G67" s="587"/>
      <c r="H67" s="95"/>
      <c r="I67" s="13"/>
      <c r="J67" s="254"/>
      <c r="K67" s="255"/>
      <c r="L67" s="562"/>
      <c r="M67" s="95"/>
      <c r="N67" s="13"/>
      <c r="O67" s="254"/>
      <c r="P67" s="255"/>
      <c r="Q67" s="562"/>
      <c r="R67" s="95"/>
      <c r="S67" s="13"/>
      <c r="T67" s="254"/>
      <c r="U67" s="255"/>
      <c r="V67" s="562"/>
      <c r="W67" s="95"/>
      <c r="X67" s="13"/>
      <c r="Y67" s="254"/>
      <c r="Z67" s="255"/>
      <c r="AA67" s="562"/>
      <c r="AB67" s="95"/>
      <c r="AC67" s="13"/>
      <c r="AD67" s="254"/>
      <c r="AE67" s="255"/>
      <c r="AF67" s="529"/>
      <c r="AG67" s="198"/>
      <c r="AH67" s="199"/>
      <c r="AI67" s="200"/>
      <c r="AJ67" s="35"/>
      <c r="AK67" s="91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</row>
    <row r="68" spans="1:87" s="1" customFormat="1" ht="18" hidden="1" customHeight="1">
      <c r="A68" s="540"/>
      <c r="B68" s="543"/>
      <c r="C68" s="3"/>
      <c r="D68" s="4"/>
      <c r="E68" s="73"/>
      <c r="F68" s="52"/>
      <c r="G68" s="587"/>
      <c r="H68" s="95"/>
      <c r="I68" s="13"/>
      <c r="J68" s="254"/>
      <c r="K68" s="255"/>
      <c r="L68" s="562"/>
      <c r="M68" s="95"/>
      <c r="N68" s="13"/>
      <c r="O68" s="254"/>
      <c r="P68" s="255"/>
      <c r="Q68" s="562"/>
      <c r="R68" s="95"/>
      <c r="S68" s="13"/>
      <c r="T68" s="254"/>
      <c r="U68" s="255"/>
      <c r="V68" s="562"/>
      <c r="W68" s="95"/>
      <c r="X68" s="13"/>
      <c r="Y68" s="254"/>
      <c r="Z68" s="255"/>
      <c r="AA68" s="562"/>
      <c r="AB68" s="95"/>
      <c r="AC68" s="13"/>
      <c r="AD68" s="254"/>
      <c r="AE68" s="255"/>
      <c r="AF68" s="529"/>
      <c r="AG68" s="198"/>
      <c r="AH68" s="199"/>
      <c r="AI68" s="200"/>
      <c r="AJ68" s="35"/>
      <c r="AK68" s="91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</row>
    <row r="69" spans="1:87" s="1" customFormat="1" ht="18" hidden="1" customHeight="1">
      <c r="A69" s="540"/>
      <c r="B69" s="543"/>
      <c r="C69" s="3"/>
      <c r="D69" s="4"/>
      <c r="E69" s="73"/>
      <c r="F69" s="52"/>
      <c r="G69" s="587"/>
      <c r="H69" s="95"/>
      <c r="I69" s="13"/>
      <c r="J69" s="254"/>
      <c r="K69" s="255"/>
      <c r="L69" s="562"/>
      <c r="M69" s="95"/>
      <c r="N69" s="13"/>
      <c r="O69" s="254"/>
      <c r="P69" s="255"/>
      <c r="Q69" s="562"/>
      <c r="R69" s="95"/>
      <c r="S69" s="13"/>
      <c r="T69" s="254"/>
      <c r="U69" s="255"/>
      <c r="V69" s="562"/>
      <c r="W69" s="95"/>
      <c r="X69" s="13"/>
      <c r="Y69" s="254"/>
      <c r="Z69" s="255"/>
      <c r="AA69" s="562"/>
      <c r="AB69" s="95"/>
      <c r="AC69" s="13"/>
      <c r="AD69" s="254"/>
      <c r="AE69" s="255"/>
      <c r="AF69" s="529"/>
      <c r="AG69" s="198"/>
      <c r="AH69" s="199"/>
      <c r="AI69" s="200"/>
      <c r="AJ69" s="35"/>
      <c r="AK69" s="91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</row>
    <row r="70" spans="1:87" s="1" customFormat="1" ht="18" hidden="1" customHeight="1">
      <c r="A70" s="540"/>
      <c r="B70" s="543"/>
      <c r="C70" s="3"/>
      <c r="D70" s="4"/>
      <c r="E70" s="73"/>
      <c r="F70" s="52"/>
      <c r="G70" s="587"/>
      <c r="H70" s="95"/>
      <c r="I70" s="13"/>
      <c r="J70" s="254"/>
      <c r="K70" s="255"/>
      <c r="L70" s="562"/>
      <c r="M70" s="95"/>
      <c r="N70" s="13"/>
      <c r="O70" s="254"/>
      <c r="P70" s="255"/>
      <c r="Q70" s="562"/>
      <c r="R70" s="95"/>
      <c r="S70" s="13"/>
      <c r="T70" s="254"/>
      <c r="U70" s="255"/>
      <c r="V70" s="562"/>
      <c r="W70" s="95"/>
      <c r="X70" s="13"/>
      <c r="Y70" s="254"/>
      <c r="Z70" s="255"/>
      <c r="AA70" s="562"/>
      <c r="AB70" s="95"/>
      <c r="AC70" s="13"/>
      <c r="AD70" s="254"/>
      <c r="AE70" s="255"/>
      <c r="AF70" s="529"/>
      <c r="AG70" s="198"/>
      <c r="AH70" s="199"/>
      <c r="AI70" s="200"/>
      <c r="AJ70" s="35"/>
      <c r="AK70" s="91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</row>
    <row r="71" spans="1:87" s="1" customFormat="1" ht="18" hidden="1" customHeight="1">
      <c r="A71" s="540"/>
      <c r="B71" s="543"/>
      <c r="C71" s="3"/>
      <c r="D71" s="4"/>
      <c r="E71" s="73"/>
      <c r="F71" s="52"/>
      <c r="G71" s="587"/>
      <c r="H71" s="95"/>
      <c r="I71" s="13"/>
      <c r="J71" s="254"/>
      <c r="K71" s="255"/>
      <c r="L71" s="562"/>
      <c r="M71" s="95"/>
      <c r="N71" s="13"/>
      <c r="O71" s="254"/>
      <c r="P71" s="255"/>
      <c r="Q71" s="562"/>
      <c r="R71" s="95"/>
      <c r="S71" s="13"/>
      <c r="T71" s="254"/>
      <c r="U71" s="255"/>
      <c r="V71" s="562"/>
      <c r="W71" s="95"/>
      <c r="X71" s="13"/>
      <c r="Y71" s="254"/>
      <c r="Z71" s="255"/>
      <c r="AA71" s="562"/>
      <c r="AB71" s="95"/>
      <c r="AC71" s="13"/>
      <c r="AD71" s="254"/>
      <c r="AE71" s="255"/>
      <c r="AF71" s="529"/>
      <c r="AG71" s="198"/>
      <c r="AH71" s="199"/>
      <c r="AI71" s="200"/>
      <c r="AJ71" s="35"/>
      <c r="AK71" s="9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</row>
    <row r="72" spans="1:87" s="1" customFormat="1" ht="18" hidden="1" customHeight="1">
      <c r="A72" s="540"/>
      <c r="B72" s="543"/>
      <c r="C72" s="3"/>
      <c r="D72" s="4"/>
      <c r="E72" s="73"/>
      <c r="F72" s="52"/>
      <c r="G72" s="587"/>
      <c r="H72" s="95"/>
      <c r="I72" s="13"/>
      <c r="J72" s="254"/>
      <c r="K72" s="255"/>
      <c r="L72" s="562"/>
      <c r="M72" s="95"/>
      <c r="N72" s="13"/>
      <c r="O72" s="254"/>
      <c r="P72" s="255"/>
      <c r="Q72" s="562"/>
      <c r="R72" s="95"/>
      <c r="S72" s="13"/>
      <c r="T72" s="254"/>
      <c r="U72" s="255"/>
      <c r="V72" s="562"/>
      <c r="W72" s="95"/>
      <c r="X72" s="13"/>
      <c r="Y72" s="254"/>
      <c r="Z72" s="255"/>
      <c r="AA72" s="562"/>
      <c r="AB72" s="95"/>
      <c r="AC72" s="13"/>
      <c r="AD72" s="254"/>
      <c r="AE72" s="255"/>
      <c r="AF72" s="529"/>
      <c r="AG72" s="198"/>
      <c r="AH72" s="199"/>
      <c r="AI72" s="200"/>
      <c r="AJ72" s="35"/>
      <c r="AK72" s="9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</row>
    <row r="73" spans="1:87" s="1" customFormat="1" ht="18" hidden="1" customHeight="1">
      <c r="A73" s="540"/>
      <c r="B73" s="543"/>
      <c r="C73" s="3"/>
      <c r="D73" s="4"/>
      <c r="E73" s="73"/>
      <c r="F73" s="52"/>
      <c r="G73" s="587"/>
      <c r="H73" s="95"/>
      <c r="I73" s="13"/>
      <c r="J73" s="254"/>
      <c r="K73" s="255"/>
      <c r="L73" s="562"/>
      <c r="M73" s="95"/>
      <c r="N73" s="13"/>
      <c r="O73" s="254"/>
      <c r="P73" s="255"/>
      <c r="Q73" s="562"/>
      <c r="R73" s="95"/>
      <c r="S73" s="13"/>
      <c r="T73" s="254"/>
      <c r="U73" s="255"/>
      <c r="V73" s="562"/>
      <c r="W73" s="95"/>
      <c r="X73" s="13"/>
      <c r="Y73" s="254"/>
      <c r="Z73" s="255"/>
      <c r="AA73" s="562"/>
      <c r="AB73" s="95"/>
      <c r="AC73" s="13"/>
      <c r="AD73" s="254"/>
      <c r="AE73" s="255"/>
      <c r="AF73" s="529"/>
      <c r="AG73" s="198"/>
      <c r="AH73" s="199"/>
      <c r="AI73" s="200"/>
      <c r="AJ73" s="35"/>
      <c r="AK73" s="91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</row>
    <row r="74" spans="1:87" s="1" customFormat="1" ht="18" hidden="1" customHeight="1">
      <c r="A74" s="540"/>
      <c r="B74" s="543"/>
      <c r="C74" s="3"/>
      <c r="D74" s="4"/>
      <c r="E74" s="73"/>
      <c r="F74" s="52"/>
      <c r="G74" s="587"/>
      <c r="H74" s="95"/>
      <c r="I74" s="13"/>
      <c r="J74" s="254"/>
      <c r="K74" s="255"/>
      <c r="L74" s="562"/>
      <c r="M74" s="95"/>
      <c r="N74" s="13"/>
      <c r="O74" s="254"/>
      <c r="P74" s="255"/>
      <c r="Q74" s="562"/>
      <c r="R74" s="95"/>
      <c r="S74" s="13"/>
      <c r="T74" s="254"/>
      <c r="U74" s="255"/>
      <c r="V74" s="562"/>
      <c r="W74" s="95"/>
      <c r="X74" s="13"/>
      <c r="Y74" s="254"/>
      <c r="Z74" s="255"/>
      <c r="AA74" s="562"/>
      <c r="AB74" s="95"/>
      <c r="AC74" s="13"/>
      <c r="AD74" s="254"/>
      <c r="AE74" s="255"/>
      <c r="AF74" s="529"/>
      <c r="AG74" s="198"/>
      <c r="AH74" s="199"/>
      <c r="AI74" s="200"/>
      <c r="AJ74" s="35"/>
      <c r="AK74" s="91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</row>
    <row r="75" spans="1:87" s="1" customFormat="1" ht="18" hidden="1" customHeight="1">
      <c r="A75" s="540"/>
      <c r="B75" s="543"/>
      <c r="C75" s="3"/>
      <c r="D75" s="4"/>
      <c r="E75" s="73"/>
      <c r="F75" s="52"/>
      <c r="G75" s="587"/>
      <c r="H75" s="95"/>
      <c r="I75" s="13"/>
      <c r="J75" s="254"/>
      <c r="K75" s="255"/>
      <c r="L75" s="562"/>
      <c r="M75" s="95"/>
      <c r="N75" s="13"/>
      <c r="O75" s="254"/>
      <c r="P75" s="255"/>
      <c r="Q75" s="562"/>
      <c r="R75" s="95"/>
      <c r="S75" s="13"/>
      <c r="T75" s="254"/>
      <c r="U75" s="255"/>
      <c r="V75" s="562"/>
      <c r="W75" s="95"/>
      <c r="X75" s="13"/>
      <c r="Y75" s="254"/>
      <c r="Z75" s="255"/>
      <c r="AA75" s="562"/>
      <c r="AB75" s="95"/>
      <c r="AC75" s="13"/>
      <c r="AD75" s="254"/>
      <c r="AE75" s="255"/>
      <c r="AF75" s="529"/>
      <c r="AG75" s="198"/>
      <c r="AH75" s="199"/>
      <c r="AI75" s="200"/>
      <c r="AJ75" s="35"/>
      <c r="AK75" s="91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</row>
    <row r="76" spans="1:87" s="1" customFormat="1" ht="18" hidden="1" customHeight="1">
      <c r="A76" s="540"/>
      <c r="B76" s="543"/>
      <c r="C76" s="3"/>
      <c r="D76" s="4"/>
      <c r="E76" s="73"/>
      <c r="F76" s="52"/>
      <c r="G76" s="587"/>
      <c r="H76" s="95"/>
      <c r="I76" s="13"/>
      <c r="J76" s="254"/>
      <c r="K76" s="255"/>
      <c r="L76" s="562"/>
      <c r="M76" s="95"/>
      <c r="N76" s="13"/>
      <c r="O76" s="254"/>
      <c r="P76" s="255"/>
      <c r="Q76" s="562"/>
      <c r="R76" s="95"/>
      <c r="S76" s="13"/>
      <c r="T76" s="254"/>
      <c r="U76" s="255"/>
      <c r="V76" s="562"/>
      <c r="W76" s="95"/>
      <c r="X76" s="13"/>
      <c r="Y76" s="254"/>
      <c r="Z76" s="255"/>
      <c r="AA76" s="562"/>
      <c r="AB76" s="95"/>
      <c r="AC76" s="13"/>
      <c r="AD76" s="254"/>
      <c r="AE76" s="255"/>
      <c r="AF76" s="529"/>
      <c r="AG76" s="198"/>
      <c r="AH76" s="199"/>
      <c r="AI76" s="200"/>
      <c r="AJ76" s="35"/>
      <c r="AK76" s="91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</row>
    <row r="77" spans="1:87" s="1" customFormat="1" ht="18" hidden="1" customHeight="1">
      <c r="A77" s="540"/>
      <c r="B77" s="543"/>
      <c r="C77" s="3"/>
      <c r="D77" s="4"/>
      <c r="E77" s="73"/>
      <c r="F77" s="52"/>
      <c r="G77" s="587"/>
      <c r="H77" s="95"/>
      <c r="I77" s="13"/>
      <c r="J77" s="254"/>
      <c r="K77" s="255"/>
      <c r="L77" s="562"/>
      <c r="M77" s="95"/>
      <c r="N77" s="13"/>
      <c r="O77" s="254"/>
      <c r="P77" s="255"/>
      <c r="Q77" s="562"/>
      <c r="R77" s="95"/>
      <c r="S77" s="13"/>
      <c r="T77" s="254"/>
      <c r="U77" s="255"/>
      <c r="V77" s="562"/>
      <c r="W77" s="95"/>
      <c r="X77" s="13"/>
      <c r="Y77" s="254"/>
      <c r="Z77" s="255"/>
      <c r="AA77" s="562"/>
      <c r="AB77" s="95"/>
      <c r="AC77" s="13"/>
      <c r="AD77" s="254"/>
      <c r="AE77" s="255"/>
      <c r="AF77" s="529"/>
      <c r="AG77" s="198"/>
      <c r="AH77" s="199"/>
      <c r="AI77" s="200"/>
      <c r="AJ77" s="35"/>
      <c r="AK77" s="91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</row>
    <row r="78" spans="1:87" s="1" customFormat="1" ht="18" hidden="1" customHeight="1" thickBot="1">
      <c r="A78" s="541"/>
      <c r="B78" s="544"/>
      <c r="C78" s="6"/>
      <c r="D78" s="5"/>
      <c r="E78" s="74"/>
      <c r="F78" s="53"/>
      <c r="G78" s="588"/>
      <c r="H78" s="95"/>
      <c r="I78" s="13"/>
      <c r="J78" s="254"/>
      <c r="K78" s="257"/>
      <c r="L78" s="563"/>
      <c r="M78" s="95"/>
      <c r="N78" s="13"/>
      <c r="O78" s="254"/>
      <c r="P78" s="257"/>
      <c r="Q78" s="563"/>
      <c r="R78" s="95"/>
      <c r="S78" s="13"/>
      <c r="T78" s="254"/>
      <c r="U78" s="257"/>
      <c r="V78" s="563"/>
      <c r="W78" s="95"/>
      <c r="X78" s="13"/>
      <c r="Y78" s="254"/>
      <c r="Z78" s="257"/>
      <c r="AA78" s="563"/>
      <c r="AB78" s="95"/>
      <c r="AC78" s="13"/>
      <c r="AD78" s="254"/>
      <c r="AE78" s="257"/>
      <c r="AF78" s="530"/>
      <c r="AG78" s="205"/>
      <c r="AH78" s="206"/>
      <c r="AI78" s="207"/>
      <c r="AJ78" s="54"/>
      <c r="AK78" s="91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</row>
    <row r="79" spans="1:87" s="1" customFormat="1" ht="18" hidden="1" customHeight="1">
      <c r="A79" s="539" t="s">
        <v>51</v>
      </c>
      <c r="B79" s="542"/>
      <c r="C79" s="70"/>
      <c r="D79" s="71"/>
      <c r="E79" s="72"/>
      <c r="F79" s="51"/>
      <c r="G79" s="586"/>
      <c r="H79" s="95"/>
      <c r="I79" s="13"/>
      <c r="J79" s="254"/>
      <c r="K79" s="267"/>
      <c r="L79" s="561"/>
      <c r="M79" s="95"/>
      <c r="N79" s="13"/>
      <c r="O79" s="254"/>
      <c r="P79" s="267"/>
      <c r="Q79" s="561"/>
      <c r="R79" s="95"/>
      <c r="S79" s="13"/>
      <c r="T79" s="254"/>
      <c r="U79" s="267"/>
      <c r="V79" s="561"/>
      <c r="W79" s="95"/>
      <c r="X79" s="13"/>
      <c r="Y79" s="254"/>
      <c r="Z79" s="267"/>
      <c r="AA79" s="561"/>
      <c r="AB79" s="95"/>
      <c r="AC79" s="13"/>
      <c r="AD79" s="254"/>
      <c r="AE79" s="267"/>
      <c r="AF79" s="528"/>
      <c r="AG79" s="191"/>
      <c r="AH79" s="192"/>
      <c r="AI79" s="193"/>
      <c r="AJ79" s="55"/>
      <c r="AK79" s="91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</row>
    <row r="80" spans="1:87" s="1" customFormat="1" ht="18" hidden="1" customHeight="1">
      <c r="A80" s="540"/>
      <c r="B80" s="543"/>
      <c r="C80" s="3"/>
      <c r="D80" s="4"/>
      <c r="E80" s="73"/>
      <c r="F80" s="52"/>
      <c r="G80" s="587"/>
      <c r="H80" s="95"/>
      <c r="I80" s="13"/>
      <c r="J80" s="254"/>
      <c r="K80" s="255"/>
      <c r="L80" s="562"/>
      <c r="M80" s="95"/>
      <c r="N80" s="13"/>
      <c r="O80" s="254"/>
      <c r="P80" s="255"/>
      <c r="Q80" s="562"/>
      <c r="R80" s="95"/>
      <c r="S80" s="13"/>
      <c r="T80" s="254"/>
      <c r="U80" s="255"/>
      <c r="V80" s="562"/>
      <c r="W80" s="95"/>
      <c r="X80" s="13"/>
      <c r="Y80" s="254"/>
      <c r="Z80" s="255"/>
      <c r="AA80" s="562"/>
      <c r="AB80" s="95"/>
      <c r="AC80" s="13"/>
      <c r="AD80" s="254"/>
      <c r="AE80" s="255"/>
      <c r="AF80" s="529"/>
      <c r="AG80" s="198"/>
      <c r="AH80" s="199"/>
      <c r="AI80" s="200"/>
      <c r="AJ80" s="35"/>
      <c r="AK80" s="91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</row>
    <row r="81" spans="1:87" s="1" customFormat="1" ht="18" hidden="1" customHeight="1">
      <c r="A81" s="540"/>
      <c r="B81" s="543"/>
      <c r="C81" s="3"/>
      <c r="D81" s="4"/>
      <c r="E81" s="73"/>
      <c r="F81" s="52"/>
      <c r="G81" s="587"/>
      <c r="H81" s="95"/>
      <c r="I81" s="13"/>
      <c r="J81" s="254"/>
      <c r="K81" s="255"/>
      <c r="L81" s="562"/>
      <c r="M81" s="95"/>
      <c r="N81" s="13"/>
      <c r="O81" s="254"/>
      <c r="P81" s="255"/>
      <c r="Q81" s="562"/>
      <c r="R81" s="95"/>
      <c r="S81" s="13"/>
      <c r="T81" s="254"/>
      <c r="U81" s="255"/>
      <c r="V81" s="562"/>
      <c r="W81" s="95"/>
      <c r="X81" s="13"/>
      <c r="Y81" s="254"/>
      <c r="Z81" s="255"/>
      <c r="AA81" s="562"/>
      <c r="AB81" s="95"/>
      <c r="AC81" s="13"/>
      <c r="AD81" s="254"/>
      <c r="AE81" s="255"/>
      <c r="AF81" s="529"/>
      <c r="AG81" s="198"/>
      <c r="AH81" s="199"/>
      <c r="AI81" s="200"/>
      <c r="AJ81" s="35"/>
      <c r="AK81" s="9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</row>
    <row r="82" spans="1:87" s="1" customFormat="1" ht="18" hidden="1" customHeight="1">
      <c r="A82" s="540"/>
      <c r="B82" s="543"/>
      <c r="C82" s="3"/>
      <c r="D82" s="4"/>
      <c r="E82" s="73"/>
      <c r="F82" s="52"/>
      <c r="G82" s="587"/>
      <c r="H82" s="95"/>
      <c r="I82" s="13"/>
      <c r="J82" s="254"/>
      <c r="K82" s="255"/>
      <c r="L82" s="562"/>
      <c r="M82" s="95"/>
      <c r="N82" s="13"/>
      <c r="O82" s="254"/>
      <c r="P82" s="255"/>
      <c r="Q82" s="562"/>
      <c r="R82" s="95"/>
      <c r="S82" s="13"/>
      <c r="T82" s="254"/>
      <c r="U82" s="255"/>
      <c r="V82" s="562"/>
      <c r="W82" s="95"/>
      <c r="X82" s="13"/>
      <c r="Y82" s="254"/>
      <c r="Z82" s="255"/>
      <c r="AA82" s="562"/>
      <c r="AB82" s="95"/>
      <c r="AC82" s="13"/>
      <c r="AD82" s="254"/>
      <c r="AE82" s="255"/>
      <c r="AF82" s="529"/>
      <c r="AG82" s="198"/>
      <c r="AH82" s="199"/>
      <c r="AI82" s="200"/>
      <c r="AJ82" s="35"/>
      <c r="AK82" s="91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</row>
    <row r="83" spans="1:87" s="1" customFormat="1" ht="18" hidden="1" customHeight="1">
      <c r="A83" s="540"/>
      <c r="B83" s="543"/>
      <c r="C83" s="3"/>
      <c r="D83" s="4"/>
      <c r="E83" s="73"/>
      <c r="F83" s="52"/>
      <c r="G83" s="587"/>
      <c r="H83" s="95"/>
      <c r="I83" s="13"/>
      <c r="J83" s="254"/>
      <c r="K83" s="255"/>
      <c r="L83" s="562"/>
      <c r="M83" s="95"/>
      <c r="N83" s="13"/>
      <c r="O83" s="254"/>
      <c r="P83" s="255"/>
      <c r="Q83" s="562"/>
      <c r="R83" s="95"/>
      <c r="S83" s="13"/>
      <c r="T83" s="254"/>
      <c r="U83" s="255"/>
      <c r="V83" s="562"/>
      <c r="W83" s="95"/>
      <c r="X83" s="13"/>
      <c r="Y83" s="254"/>
      <c r="Z83" s="255"/>
      <c r="AA83" s="562"/>
      <c r="AB83" s="95"/>
      <c r="AC83" s="13"/>
      <c r="AD83" s="254"/>
      <c r="AE83" s="255"/>
      <c r="AF83" s="529"/>
      <c r="AG83" s="198"/>
      <c r="AH83" s="199"/>
      <c r="AI83" s="200"/>
      <c r="AJ83" s="35"/>
      <c r="AK83" s="91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</row>
    <row r="84" spans="1:87" s="1" customFormat="1" ht="18" hidden="1" customHeight="1">
      <c r="A84" s="540"/>
      <c r="B84" s="543"/>
      <c r="C84" s="3"/>
      <c r="D84" s="4"/>
      <c r="E84" s="73"/>
      <c r="F84" s="52"/>
      <c r="G84" s="587"/>
      <c r="H84" s="95"/>
      <c r="I84" s="13"/>
      <c r="J84" s="254"/>
      <c r="K84" s="255"/>
      <c r="L84" s="562"/>
      <c r="M84" s="95"/>
      <c r="N84" s="13"/>
      <c r="O84" s="254"/>
      <c r="P84" s="255"/>
      <c r="Q84" s="562"/>
      <c r="R84" s="95"/>
      <c r="S84" s="13"/>
      <c r="T84" s="254"/>
      <c r="U84" s="255"/>
      <c r="V84" s="562"/>
      <c r="W84" s="95"/>
      <c r="X84" s="13"/>
      <c r="Y84" s="254"/>
      <c r="Z84" s="255"/>
      <c r="AA84" s="562"/>
      <c r="AB84" s="95"/>
      <c r="AC84" s="13"/>
      <c r="AD84" s="254"/>
      <c r="AE84" s="255"/>
      <c r="AF84" s="529"/>
      <c r="AG84" s="198"/>
      <c r="AH84" s="199"/>
      <c r="AI84" s="200"/>
      <c r="AJ84" s="35"/>
      <c r="AK84" s="91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</row>
    <row r="85" spans="1:87" s="1" customFormat="1" ht="18" hidden="1" customHeight="1">
      <c r="A85" s="540"/>
      <c r="B85" s="543"/>
      <c r="C85" s="3"/>
      <c r="D85" s="4"/>
      <c r="E85" s="73"/>
      <c r="F85" s="52"/>
      <c r="G85" s="587"/>
      <c r="H85" s="95"/>
      <c r="I85" s="13"/>
      <c r="J85" s="254"/>
      <c r="K85" s="255"/>
      <c r="L85" s="562"/>
      <c r="M85" s="95"/>
      <c r="N85" s="13"/>
      <c r="O85" s="254"/>
      <c r="P85" s="255"/>
      <c r="Q85" s="562"/>
      <c r="R85" s="95"/>
      <c r="S85" s="13"/>
      <c r="T85" s="254"/>
      <c r="U85" s="255"/>
      <c r="V85" s="562"/>
      <c r="W85" s="95"/>
      <c r="X85" s="13"/>
      <c r="Y85" s="254"/>
      <c r="Z85" s="255"/>
      <c r="AA85" s="562"/>
      <c r="AB85" s="95"/>
      <c r="AC85" s="13"/>
      <c r="AD85" s="254"/>
      <c r="AE85" s="255"/>
      <c r="AF85" s="529"/>
      <c r="AG85" s="198"/>
      <c r="AH85" s="199"/>
      <c r="AI85" s="200"/>
      <c r="AJ85" s="35"/>
      <c r="AK85" s="91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</row>
    <row r="86" spans="1:87" s="1" customFormat="1" ht="18" hidden="1" customHeight="1">
      <c r="A86" s="540"/>
      <c r="B86" s="543"/>
      <c r="C86" s="3"/>
      <c r="D86" s="4"/>
      <c r="E86" s="73"/>
      <c r="F86" s="52"/>
      <c r="G86" s="587"/>
      <c r="H86" s="95"/>
      <c r="I86" s="13"/>
      <c r="J86" s="254"/>
      <c r="K86" s="255"/>
      <c r="L86" s="562"/>
      <c r="M86" s="95"/>
      <c r="N86" s="13"/>
      <c r="O86" s="254"/>
      <c r="P86" s="255"/>
      <c r="Q86" s="562"/>
      <c r="R86" s="95"/>
      <c r="S86" s="13"/>
      <c r="T86" s="254"/>
      <c r="U86" s="255"/>
      <c r="V86" s="562"/>
      <c r="W86" s="95"/>
      <c r="X86" s="13"/>
      <c r="Y86" s="254"/>
      <c r="Z86" s="255"/>
      <c r="AA86" s="562"/>
      <c r="AB86" s="95"/>
      <c r="AC86" s="13"/>
      <c r="AD86" s="254"/>
      <c r="AE86" s="255"/>
      <c r="AF86" s="529"/>
      <c r="AG86" s="198"/>
      <c r="AH86" s="199"/>
      <c r="AI86" s="200"/>
      <c r="AJ86" s="35"/>
      <c r="AK86" s="91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</row>
    <row r="87" spans="1:87" s="1" customFormat="1" ht="18" hidden="1" customHeight="1">
      <c r="A87" s="540"/>
      <c r="B87" s="543"/>
      <c r="C87" s="3"/>
      <c r="D87" s="4"/>
      <c r="E87" s="73"/>
      <c r="F87" s="52"/>
      <c r="G87" s="587"/>
      <c r="H87" s="95"/>
      <c r="I87" s="13"/>
      <c r="J87" s="254"/>
      <c r="K87" s="255"/>
      <c r="L87" s="562"/>
      <c r="M87" s="95"/>
      <c r="N87" s="13"/>
      <c r="O87" s="254"/>
      <c r="P87" s="255"/>
      <c r="Q87" s="562"/>
      <c r="R87" s="95"/>
      <c r="S87" s="13"/>
      <c r="T87" s="254"/>
      <c r="U87" s="255"/>
      <c r="V87" s="562"/>
      <c r="W87" s="95"/>
      <c r="X87" s="13"/>
      <c r="Y87" s="254"/>
      <c r="Z87" s="255"/>
      <c r="AA87" s="562"/>
      <c r="AB87" s="95"/>
      <c r="AC87" s="13"/>
      <c r="AD87" s="254"/>
      <c r="AE87" s="255"/>
      <c r="AF87" s="529"/>
      <c r="AG87" s="198"/>
      <c r="AH87" s="199"/>
      <c r="AI87" s="200"/>
      <c r="AJ87" s="35"/>
      <c r="AK87" s="91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</row>
    <row r="88" spans="1:87" s="1" customFormat="1" ht="18" hidden="1" customHeight="1">
      <c r="A88" s="540"/>
      <c r="B88" s="543"/>
      <c r="C88" s="3"/>
      <c r="D88" s="4"/>
      <c r="E88" s="73"/>
      <c r="F88" s="52"/>
      <c r="G88" s="587"/>
      <c r="H88" s="95"/>
      <c r="I88" s="13"/>
      <c r="J88" s="254"/>
      <c r="K88" s="255"/>
      <c r="L88" s="562"/>
      <c r="M88" s="95"/>
      <c r="N88" s="13"/>
      <c r="O88" s="254"/>
      <c r="P88" s="255"/>
      <c r="Q88" s="562"/>
      <c r="R88" s="95"/>
      <c r="S88" s="13"/>
      <c r="T88" s="254"/>
      <c r="U88" s="255"/>
      <c r="V88" s="562"/>
      <c r="W88" s="95"/>
      <c r="X88" s="13"/>
      <c r="Y88" s="254"/>
      <c r="Z88" s="255"/>
      <c r="AA88" s="562"/>
      <c r="AB88" s="95"/>
      <c r="AC88" s="13"/>
      <c r="AD88" s="254"/>
      <c r="AE88" s="255"/>
      <c r="AF88" s="529"/>
      <c r="AG88" s="198"/>
      <c r="AH88" s="199"/>
      <c r="AI88" s="200"/>
      <c r="AJ88" s="35"/>
      <c r="AK88" s="91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</row>
    <row r="89" spans="1:87" s="1" customFormat="1" ht="18" hidden="1" customHeight="1">
      <c r="A89" s="540"/>
      <c r="B89" s="543"/>
      <c r="C89" s="3"/>
      <c r="D89" s="4"/>
      <c r="E89" s="73"/>
      <c r="F89" s="52"/>
      <c r="G89" s="587"/>
      <c r="H89" s="95"/>
      <c r="I89" s="13"/>
      <c r="J89" s="254"/>
      <c r="K89" s="255"/>
      <c r="L89" s="562"/>
      <c r="M89" s="95"/>
      <c r="N89" s="13"/>
      <c r="O89" s="254"/>
      <c r="P89" s="255"/>
      <c r="Q89" s="562"/>
      <c r="R89" s="95"/>
      <c r="S89" s="13"/>
      <c r="T89" s="254"/>
      <c r="U89" s="255"/>
      <c r="V89" s="562"/>
      <c r="W89" s="95"/>
      <c r="X89" s="13"/>
      <c r="Y89" s="254"/>
      <c r="Z89" s="255"/>
      <c r="AA89" s="562"/>
      <c r="AB89" s="95"/>
      <c r="AC89" s="13"/>
      <c r="AD89" s="254"/>
      <c r="AE89" s="255"/>
      <c r="AF89" s="529"/>
      <c r="AG89" s="198"/>
      <c r="AH89" s="199"/>
      <c r="AI89" s="200"/>
      <c r="AJ89" s="35"/>
      <c r="AK89" s="91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</row>
    <row r="90" spans="1:87" s="1" customFormat="1" ht="18" hidden="1" customHeight="1">
      <c r="A90" s="540"/>
      <c r="B90" s="543"/>
      <c r="C90" s="3"/>
      <c r="D90" s="4"/>
      <c r="E90" s="73"/>
      <c r="F90" s="52"/>
      <c r="G90" s="587"/>
      <c r="H90" s="95"/>
      <c r="I90" s="13"/>
      <c r="J90" s="254"/>
      <c r="K90" s="255"/>
      <c r="L90" s="562"/>
      <c r="M90" s="95"/>
      <c r="N90" s="13"/>
      <c r="O90" s="254"/>
      <c r="P90" s="255"/>
      <c r="Q90" s="562"/>
      <c r="R90" s="95"/>
      <c r="S90" s="13"/>
      <c r="T90" s="254"/>
      <c r="U90" s="255"/>
      <c r="V90" s="562"/>
      <c r="W90" s="95"/>
      <c r="X90" s="13"/>
      <c r="Y90" s="254"/>
      <c r="Z90" s="255"/>
      <c r="AA90" s="562"/>
      <c r="AB90" s="95"/>
      <c r="AC90" s="13"/>
      <c r="AD90" s="254"/>
      <c r="AE90" s="255"/>
      <c r="AF90" s="529"/>
      <c r="AG90" s="198"/>
      <c r="AH90" s="199"/>
      <c r="AI90" s="200"/>
      <c r="AJ90" s="35"/>
      <c r="AK90" s="91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</row>
    <row r="91" spans="1:87" s="1" customFormat="1" ht="18" hidden="1" customHeight="1">
      <c r="A91" s="540"/>
      <c r="B91" s="543"/>
      <c r="C91" s="3"/>
      <c r="D91" s="4"/>
      <c r="E91" s="73"/>
      <c r="F91" s="52"/>
      <c r="G91" s="587"/>
      <c r="H91" s="95"/>
      <c r="I91" s="13"/>
      <c r="J91" s="254"/>
      <c r="K91" s="255"/>
      <c r="L91" s="562"/>
      <c r="M91" s="95"/>
      <c r="N91" s="13"/>
      <c r="O91" s="254"/>
      <c r="P91" s="255"/>
      <c r="Q91" s="562"/>
      <c r="R91" s="95"/>
      <c r="S91" s="13"/>
      <c r="T91" s="254"/>
      <c r="U91" s="255"/>
      <c r="V91" s="562"/>
      <c r="W91" s="95"/>
      <c r="X91" s="13"/>
      <c r="Y91" s="254"/>
      <c r="Z91" s="255"/>
      <c r="AA91" s="562"/>
      <c r="AB91" s="95"/>
      <c r="AC91" s="13"/>
      <c r="AD91" s="254"/>
      <c r="AE91" s="255"/>
      <c r="AF91" s="529"/>
      <c r="AG91" s="198"/>
      <c r="AH91" s="199"/>
      <c r="AI91" s="200"/>
      <c r="AJ91" s="35"/>
      <c r="AK91" s="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</row>
    <row r="92" spans="1:87" s="1" customFormat="1" ht="18" hidden="1" customHeight="1">
      <c r="A92" s="540"/>
      <c r="B92" s="543"/>
      <c r="C92" s="3"/>
      <c r="D92" s="4"/>
      <c r="E92" s="73"/>
      <c r="F92" s="52"/>
      <c r="G92" s="587"/>
      <c r="H92" s="95"/>
      <c r="I92" s="13"/>
      <c r="J92" s="254"/>
      <c r="K92" s="255"/>
      <c r="L92" s="562"/>
      <c r="M92" s="95"/>
      <c r="N92" s="13"/>
      <c r="O92" s="254"/>
      <c r="P92" s="255"/>
      <c r="Q92" s="562"/>
      <c r="R92" s="95"/>
      <c r="S92" s="13"/>
      <c r="T92" s="254"/>
      <c r="U92" s="255"/>
      <c r="V92" s="562"/>
      <c r="W92" s="95"/>
      <c r="X92" s="13"/>
      <c r="Y92" s="254"/>
      <c r="Z92" s="255"/>
      <c r="AA92" s="562"/>
      <c r="AB92" s="95"/>
      <c r="AC92" s="13"/>
      <c r="AD92" s="254"/>
      <c r="AE92" s="255"/>
      <c r="AF92" s="529"/>
      <c r="AG92" s="198"/>
      <c r="AH92" s="199"/>
      <c r="AI92" s="200"/>
      <c r="AJ92" s="35"/>
      <c r="AK92" s="91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</row>
    <row r="93" spans="1:87" s="1" customFormat="1" ht="18" hidden="1" customHeight="1" thickBot="1">
      <c r="A93" s="541"/>
      <c r="B93" s="544"/>
      <c r="C93" s="6"/>
      <c r="D93" s="5"/>
      <c r="E93" s="74"/>
      <c r="F93" s="53"/>
      <c r="G93" s="588"/>
      <c r="H93" s="95"/>
      <c r="I93" s="13"/>
      <c r="J93" s="254"/>
      <c r="K93" s="255"/>
      <c r="L93" s="563"/>
      <c r="M93" s="95"/>
      <c r="N93" s="13"/>
      <c r="O93" s="254"/>
      <c r="P93" s="255"/>
      <c r="Q93" s="563"/>
      <c r="R93" s="95"/>
      <c r="S93" s="13"/>
      <c r="T93" s="254"/>
      <c r="U93" s="255"/>
      <c r="V93" s="563"/>
      <c r="W93" s="95"/>
      <c r="X93" s="13"/>
      <c r="Y93" s="254"/>
      <c r="Z93" s="255"/>
      <c r="AA93" s="563"/>
      <c r="AB93" s="95"/>
      <c r="AC93" s="13"/>
      <c r="AD93" s="254"/>
      <c r="AE93" s="255"/>
      <c r="AF93" s="530"/>
      <c r="AG93" s="205"/>
      <c r="AH93" s="206"/>
      <c r="AI93" s="207"/>
      <c r="AJ93" s="35"/>
      <c r="AK93" s="91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</row>
    <row r="94" spans="1:87" s="1" customFormat="1" ht="18" customHeight="1">
      <c r="A94" s="592" t="s">
        <v>52</v>
      </c>
      <c r="B94" s="542"/>
      <c r="C94" s="71"/>
      <c r="D94" s="71"/>
      <c r="E94" s="72"/>
      <c r="F94" s="37"/>
      <c r="G94" s="567" t="s">
        <v>185</v>
      </c>
      <c r="H94" s="368" t="s">
        <v>392</v>
      </c>
      <c r="I94" s="9"/>
      <c r="J94" s="369">
        <f>MROUND(28*J$2/1000,3)</f>
        <v>51</v>
      </c>
      <c r="K94" s="223" t="s">
        <v>0</v>
      </c>
      <c r="L94" s="572" t="s">
        <v>334</v>
      </c>
      <c r="M94" s="93" t="s">
        <v>103</v>
      </c>
      <c r="N94" s="9"/>
      <c r="O94" s="369">
        <f>ROUND(60*O$2/1000,0)</f>
        <v>112</v>
      </c>
      <c r="P94" s="223" t="s">
        <v>0</v>
      </c>
      <c r="Q94" s="567"/>
      <c r="R94" s="93"/>
      <c r="S94" s="9"/>
      <c r="T94" s="253"/>
      <c r="U94" s="223" t="s">
        <v>0</v>
      </c>
      <c r="V94" s="567" t="s">
        <v>186</v>
      </c>
      <c r="W94" s="93" t="s">
        <v>187</v>
      </c>
      <c r="X94" s="9"/>
      <c r="Y94" s="253">
        <f>ROUND(15*Y$2/1000,0)</f>
        <v>28</v>
      </c>
      <c r="Z94" s="223" t="s">
        <v>0</v>
      </c>
      <c r="AA94" s="567" t="s">
        <v>188</v>
      </c>
      <c r="AB94" s="93" t="s">
        <v>126</v>
      </c>
      <c r="AC94" s="9"/>
      <c r="AD94" s="253">
        <f>ROUND(30*AD$2/1000,0)</f>
        <v>39</v>
      </c>
      <c r="AE94" s="223" t="s">
        <v>0</v>
      </c>
      <c r="AF94" s="589"/>
      <c r="AG94" s="11"/>
      <c r="AH94" s="9"/>
      <c r="AI94" s="56"/>
      <c r="AJ94" s="34" t="s">
        <v>0</v>
      </c>
      <c r="AK94" s="91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</row>
    <row r="95" spans="1:87" s="1" customFormat="1" ht="18" customHeight="1">
      <c r="A95" s="515"/>
      <c r="B95" s="600"/>
      <c r="C95" s="4"/>
      <c r="D95" s="4"/>
      <c r="E95" s="73"/>
      <c r="F95" s="27"/>
      <c r="G95" s="568"/>
      <c r="H95" s="97" t="s">
        <v>120</v>
      </c>
      <c r="I95" s="13"/>
      <c r="J95" s="254">
        <f>ROUND(30*J$2/1000,0)</f>
        <v>56</v>
      </c>
      <c r="K95" s="255" t="s">
        <v>0</v>
      </c>
      <c r="L95" s="573"/>
      <c r="M95" s="413" t="s">
        <v>333</v>
      </c>
      <c r="N95" s="380"/>
      <c r="O95" s="367">
        <f>MROUND(10*O$2/1000,3)</f>
        <v>18</v>
      </c>
      <c r="P95" s="255" t="s">
        <v>0</v>
      </c>
      <c r="Q95" s="568"/>
      <c r="R95" s="97"/>
      <c r="S95" s="13"/>
      <c r="T95" s="254"/>
      <c r="U95" s="255" t="s">
        <v>0</v>
      </c>
      <c r="V95" s="568"/>
      <c r="W95" s="97" t="s">
        <v>6</v>
      </c>
      <c r="X95" s="13"/>
      <c r="Y95" s="254">
        <f>ROUND(8*Y$2/1000,0)</f>
        <v>15</v>
      </c>
      <c r="Z95" s="255" t="s">
        <v>0</v>
      </c>
      <c r="AA95" s="568"/>
      <c r="AB95" s="97" t="s">
        <v>122</v>
      </c>
      <c r="AC95" s="13"/>
      <c r="AD95" s="254">
        <f>ROUND(55*AD$2/1000,0)</f>
        <v>71</v>
      </c>
      <c r="AE95" s="255" t="s">
        <v>0</v>
      </c>
      <c r="AF95" s="590"/>
      <c r="AG95" s="12"/>
      <c r="AH95" s="13"/>
      <c r="AI95" s="57"/>
      <c r="AJ95" s="35" t="s">
        <v>0</v>
      </c>
      <c r="AK95" s="9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</row>
    <row r="96" spans="1:87" s="1" customFormat="1" ht="18" customHeight="1">
      <c r="A96" s="515"/>
      <c r="B96" s="600"/>
      <c r="C96" s="4"/>
      <c r="D96" s="4"/>
      <c r="E96" s="73"/>
      <c r="F96" s="27"/>
      <c r="G96" s="568"/>
      <c r="H96" s="97" t="s">
        <v>130</v>
      </c>
      <c r="I96" s="13" t="s">
        <v>96</v>
      </c>
      <c r="J96" s="367">
        <f>ROUND(18*J$2/1000,0)</f>
        <v>34</v>
      </c>
      <c r="K96" s="255" t="s">
        <v>0</v>
      </c>
      <c r="L96" s="573"/>
      <c r="M96" s="319" t="s">
        <v>158</v>
      </c>
      <c r="N96" s="113"/>
      <c r="O96" s="256">
        <f>ROUND(18*25/1000,1)</f>
        <v>0.5</v>
      </c>
      <c r="P96" s="255" t="s">
        <v>0</v>
      </c>
      <c r="Q96" s="568"/>
      <c r="R96" s="97"/>
      <c r="S96" s="13"/>
      <c r="T96" s="254"/>
      <c r="U96" s="255" t="s">
        <v>0</v>
      </c>
      <c r="V96" s="568"/>
      <c r="W96" s="97" t="s">
        <v>189</v>
      </c>
      <c r="X96" s="13" t="s">
        <v>159</v>
      </c>
      <c r="Y96" s="254">
        <f>ROUND(15*Y$2/1000,0)</f>
        <v>28</v>
      </c>
      <c r="Z96" s="255" t="s">
        <v>0</v>
      </c>
      <c r="AA96" s="568"/>
      <c r="AB96" s="413" t="s">
        <v>207</v>
      </c>
      <c r="AC96" s="13"/>
      <c r="AD96" s="367">
        <v>2</v>
      </c>
      <c r="AE96" s="448" t="s">
        <v>372</v>
      </c>
      <c r="AF96" s="590"/>
      <c r="AG96" s="12"/>
      <c r="AH96" s="13"/>
      <c r="AI96" s="57"/>
      <c r="AJ96" s="35" t="s">
        <v>0</v>
      </c>
      <c r="AK96" s="91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</row>
    <row r="97" spans="1:87" s="1" customFormat="1" ht="18" customHeight="1">
      <c r="A97" s="515"/>
      <c r="B97" s="600"/>
      <c r="C97" s="4"/>
      <c r="D97" s="4"/>
      <c r="E97" s="73"/>
      <c r="F97" s="86"/>
      <c r="G97" s="568"/>
      <c r="H97" s="97" t="s">
        <v>190</v>
      </c>
      <c r="I97" s="13"/>
      <c r="J97" s="367">
        <f>ROUND(8*J$2/1000,0)</f>
        <v>15</v>
      </c>
      <c r="K97" s="255" t="s">
        <v>0</v>
      </c>
      <c r="L97" s="573"/>
      <c r="P97" s="255" t="s">
        <v>0</v>
      </c>
      <c r="Q97" s="568"/>
      <c r="R97" s="97"/>
      <c r="S97" s="13"/>
      <c r="T97" s="254"/>
      <c r="U97" s="255" t="s">
        <v>0</v>
      </c>
      <c r="V97" s="568"/>
      <c r="W97" s="97" t="s">
        <v>191</v>
      </c>
      <c r="X97" s="13" t="s">
        <v>97</v>
      </c>
      <c r="Y97" s="254">
        <v>1</v>
      </c>
      <c r="Z97" s="255" t="s">
        <v>0</v>
      </c>
      <c r="AA97" s="568"/>
      <c r="AB97" s="97"/>
      <c r="AC97" s="13"/>
      <c r="AD97" s="254"/>
      <c r="AE97" s="255" t="s">
        <v>0</v>
      </c>
      <c r="AF97" s="590"/>
      <c r="AG97" s="12"/>
      <c r="AH97" s="13"/>
      <c r="AI97" s="57"/>
      <c r="AJ97" s="35" t="s">
        <v>0</v>
      </c>
      <c r="AK97" s="91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</row>
    <row r="98" spans="1:87" s="1" customFormat="1" ht="18" customHeight="1">
      <c r="A98" s="515"/>
      <c r="B98" s="600"/>
      <c r="C98" s="4"/>
      <c r="D98" s="4"/>
      <c r="E98" s="73"/>
      <c r="F98" s="27"/>
      <c r="G98" s="568"/>
      <c r="H98" s="319" t="s">
        <v>192</v>
      </c>
      <c r="I98" s="113"/>
      <c r="J98" s="256">
        <f>ROUND(20*22/1000,1)</f>
        <v>0.4</v>
      </c>
      <c r="K98" s="255" t="s">
        <v>0</v>
      </c>
      <c r="L98" s="573"/>
      <c r="M98" s="97"/>
      <c r="N98" s="13"/>
      <c r="O98" s="254"/>
      <c r="P98" s="255" t="s">
        <v>0</v>
      </c>
      <c r="Q98" s="568"/>
      <c r="R98" s="97"/>
      <c r="S98" s="13"/>
      <c r="T98" s="254"/>
      <c r="U98" s="255" t="s">
        <v>0</v>
      </c>
      <c r="V98" s="568"/>
      <c r="W98" s="97" t="s">
        <v>121</v>
      </c>
      <c r="X98" s="13"/>
      <c r="Y98" s="254">
        <f>MROUND(8*Y$2/1000,3)</f>
        <v>15</v>
      </c>
      <c r="Z98" s="255" t="s">
        <v>0</v>
      </c>
      <c r="AA98" s="568"/>
      <c r="AB98" s="97"/>
      <c r="AC98" s="13"/>
      <c r="AD98" s="254"/>
      <c r="AE98" s="255" t="s">
        <v>0</v>
      </c>
      <c r="AF98" s="590"/>
      <c r="AG98" s="12"/>
      <c r="AH98" s="13"/>
      <c r="AI98" s="57"/>
      <c r="AJ98" s="35" t="s">
        <v>0</v>
      </c>
      <c r="AK98" s="91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</row>
    <row r="99" spans="1:87" s="1" customFormat="1" ht="18" customHeight="1">
      <c r="A99" s="515"/>
      <c r="B99" s="600"/>
      <c r="C99" s="4"/>
      <c r="D99" s="4"/>
      <c r="E99" s="73"/>
      <c r="F99" s="86"/>
      <c r="G99" s="568"/>
      <c r="H99" s="97" t="s">
        <v>193</v>
      </c>
      <c r="I99" s="13"/>
      <c r="J99" s="254">
        <v>3</v>
      </c>
      <c r="K99" s="335" t="s">
        <v>27</v>
      </c>
      <c r="L99" s="573"/>
      <c r="M99" s="97"/>
      <c r="N99" s="13"/>
      <c r="O99" s="254"/>
      <c r="P99" s="255" t="s">
        <v>0</v>
      </c>
      <c r="Q99" s="568"/>
      <c r="R99" s="97"/>
      <c r="S99" s="13"/>
      <c r="T99" s="254"/>
      <c r="U99" s="255" t="s">
        <v>0</v>
      </c>
      <c r="V99" s="568"/>
      <c r="W99" s="97"/>
      <c r="X99" s="13"/>
      <c r="Y99" s="254"/>
      <c r="Z99" s="255" t="s">
        <v>0</v>
      </c>
      <c r="AA99" s="568"/>
      <c r="AB99" s="97"/>
      <c r="AC99" s="13"/>
      <c r="AD99" s="254"/>
      <c r="AE99" s="255" t="s">
        <v>0</v>
      </c>
      <c r="AF99" s="590"/>
      <c r="AG99" s="12"/>
      <c r="AH99" s="13"/>
      <c r="AI99" s="57"/>
      <c r="AJ99" s="35" t="s">
        <v>0</v>
      </c>
      <c r="AK99" s="91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</row>
    <row r="100" spans="1:87" s="1" customFormat="1" ht="18" customHeight="1" thickBot="1">
      <c r="A100" s="515"/>
      <c r="B100" s="600"/>
      <c r="C100" s="4"/>
      <c r="D100" s="4"/>
      <c r="E100" s="73"/>
      <c r="F100" s="86"/>
      <c r="G100" s="568"/>
      <c r="H100" s="94"/>
      <c r="I100" s="14"/>
      <c r="J100" s="261"/>
      <c r="K100" s="257" t="s">
        <v>0</v>
      </c>
      <c r="L100" s="573"/>
      <c r="M100" s="94"/>
      <c r="N100" s="14"/>
      <c r="O100" s="261"/>
      <c r="P100" s="255" t="s">
        <v>0</v>
      </c>
      <c r="Q100" s="568"/>
      <c r="R100" s="94"/>
      <c r="S100" s="14"/>
      <c r="T100" s="261"/>
      <c r="U100" s="257" t="s">
        <v>0</v>
      </c>
      <c r="V100" s="568"/>
      <c r="W100" s="94"/>
      <c r="X100" s="14"/>
      <c r="Y100" s="261"/>
      <c r="Z100" s="257" t="s">
        <v>0</v>
      </c>
      <c r="AA100" s="568"/>
      <c r="AB100" s="94"/>
      <c r="AC100" s="14"/>
      <c r="AD100" s="261"/>
      <c r="AE100" s="257" t="s">
        <v>0</v>
      </c>
      <c r="AF100" s="590"/>
      <c r="AG100" s="15"/>
      <c r="AH100" s="14"/>
      <c r="AI100" s="210"/>
      <c r="AJ100" s="54" t="s">
        <v>0</v>
      </c>
      <c r="AK100" s="91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</row>
    <row r="101" spans="1:87" s="1" customFormat="1" ht="18" hidden="1" customHeight="1" thickBot="1">
      <c r="A101" s="515"/>
      <c r="B101" s="600"/>
      <c r="C101" s="4"/>
      <c r="D101" s="4"/>
      <c r="E101" s="73"/>
      <c r="F101" s="86"/>
      <c r="G101" s="568"/>
      <c r="H101" s="95"/>
      <c r="I101" s="13"/>
      <c r="J101" s="254"/>
      <c r="K101" s="255" t="s">
        <v>0</v>
      </c>
      <c r="L101" s="573"/>
      <c r="M101" s="95"/>
      <c r="N101" s="13"/>
      <c r="O101" s="254"/>
      <c r="P101" s="255" t="s">
        <v>0</v>
      </c>
      <c r="Q101" s="568"/>
      <c r="R101" s="95"/>
      <c r="S101" s="13"/>
      <c r="T101" s="254"/>
      <c r="U101" s="255" t="s">
        <v>0</v>
      </c>
      <c r="V101" s="568"/>
      <c r="W101" s="95"/>
      <c r="X101" s="13"/>
      <c r="Y101" s="254"/>
      <c r="Z101" s="255" t="s">
        <v>0</v>
      </c>
      <c r="AA101" s="568"/>
      <c r="AB101" s="95"/>
      <c r="AC101" s="13"/>
      <c r="AD101" s="254"/>
      <c r="AE101" s="255" t="s">
        <v>0</v>
      </c>
      <c r="AF101" s="590"/>
      <c r="AG101" s="13"/>
      <c r="AH101" s="13"/>
      <c r="AI101" s="57"/>
      <c r="AJ101" s="35" t="s">
        <v>0</v>
      </c>
      <c r="AK101" s="9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</row>
    <row r="102" spans="1:87" s="1" customFormat="1" ht="18" hidden="1" customHeight="1">
      <c r="A102" s="515"/>
      <c r="B102" s="600"/>
      <c r="C102" s="4"/>
      <c r="D102" s="4"/>
      <c r="E102" s="73"/>
      <c r="F102" s="86"/>
      <c r="G102" s="568"/>
      <c r="H102" s="95"/>
      <c r="I102" s="13"/>
      <c r="J102" s="254"/>
      <c r="K102" s="255" t="s">
        <v>0</v>
      </c>
      <c r="L102" s="573"/>
      <c r="M102" s="95"/>
      <c r="N102" s="13"/>
      <c r="O102" s="254"/>
      <c r="P102" s="255" t="s">
        <v>0</v>
      </c>
      <c r="Q102" s="568"/>
      <c r="R102" s="95"/>
      <c r="S102" s="13"/>
      <c r="T102" s="254"/>
      <c r="U102" s="255" t="s">
        <v>0</v>
      </c>
      <c r="V102" s="568"/>
      <c r="W102" s="95"/>
      <c r="X102" s="13"/>
      <c r="Y102" s="254"/>
      <c r="Z102" s="255" t="s">
        <v>0</v>
      </c>
      <c r="AA102" s="568"/>
      <c r="AB102" s="95"/>
      <c r="AC102" s="13"/>
      <c r="AD102" s="254"/>
      <c r="AE102" s="255" t="s">
        <v>0</v>
      </c>
      <c r="AF102" s="590"/>
      <c r="AG102" s="13"/>
      <c r="AH102" s="13"/>
      <c r="AI102" s="57"/>
      <c r="AJ102" s="35" t="s">
        <v>0</v>
      </c>
      <c r="AK102" s="9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</row>
    <row r="103" spans="1:87" s="1" customFormat="1" ht="18" hidden="1" customHeight="1">
      <c r="A103" s="515"/>
      <c r="B103" s="600"/>
      <c r="C103" s="4"/>
      <c r="D103" s="4"/>
      <c r="E103" s="73"/>
      <c r="F103" s="86"/>
      <c r="G103" s="568"/>
      <c r="H103" s="95"/>
      <c r="I103" s="13"/>
      <c r="J103" s="254"/>
      <c r="K103" s="258"/>
      <c r="L103" s="573"/>
      <c r="M103" s="95"/>
      <c r="N103" s="13"/>
      <c r="O103" s="254"/>
      <c r="P103" s="255"/>
      <c r="Q103" s="568"/>
      <c r="R103" s="95"/>
      <c r="S103" s="13"/>
      <c r="T103" s="254"/>
      <c r="U103" s="258"/>
      <c r="V103" s="568"/>
      <c r="W103" s="95"/>
      <c r="X103" s="13"/>
      <c r="Y103" s="254"/>
      <c r="Z103" s="258"/>
      <c r="AA103" s="568"/>
      <c r="AB103" s="95"/>
      <c r="AC103" s="13"/>
      <c r="AD103" s="254"/>
      <c r="AE103" s="277"/>
      <c r="AF103" s="590"/>
      <c r="AG103" s="13"/>
      <c r="AH103" s="13"/>
      <c r="AI103" s="57"/>
      <c r="AJ103" s="59"/>
      <c r="AK103" s="91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</row>
    <row r="104" spans="1:87" s="1" customFormat="1" ht="18" hidden="1" customHeight="1">
      <c r="A104" s="515"/>
      <c r="B104" s="600"/>
      <c r="C104" s="4"/>
      <c r="D104" s="4"/>
      <c r="E104" s="73"/>
      <c r="F104" s="86"/>
      <c r="G104" s="568"/>
      <c r="H104" s="95"/>
      <c r="I104" s="13"/>
      <c r="J104" s="254"/>
      <c r="K104" s="258"/>
      <c r="L104" s="573"/>
      <c r="M104" s="95"/>
      <c r="N104" s="13"/>
      <c r="O104" s="254"/>
      <c r="P104" s="255"/>
      <c r="Q104" s="568"/>
      <c r="R104" s="95"/>
      <c r="S104" s="13"/>
      <c r="T104" s="254"/>
      <c r="U104" s="258"/>
      <c r="V104" s="568"/>
      <c r="W104" s="95"/>
      <c r="X104" s="13"/>
      <c r="Y104" s="254"/>
      <c r="Z104" s="258"/>
      <c r="AA104" s="568"/>
      <c r="AB104" s="95"/>
      <c r="AC104" s="13"/>
      <c r="AD104" s="254"/>
      <c r="AE104" s="277"/>
      <c r="AF104" s="590"/>
      <c r="AG104" s="13"/>
      <c r="AH104" s="13"/>
      <c r="AI104" s="57"/>
      <c r="AJ104" s="59"/>
      <c r="AK104" s="91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</row>
    <row r="105" spans="1:87" s="1" customFormat="1" ht="18" hidden="1" customHeight="1">
      <c r="A105" s="515"/>
      <c r="B105" s="600"/>
      <c r="C105" s="4"/>
      <c r="D105" s="4"/>
      <c r="E105" s="73"/>
      <c r="F105" s="86"/>
      <c r="G105" s="568"/>
      <c r="H105" s="95"/>
      <c r="I105" s="13"/>
      <c r="J105" s="254"/>
      <c r="K105" s="258"/>
      <c r="L105" s="573"/>
      <c r="M105" s="95"/>
      <c r="N105" s="13"/>
      <c r="O105" s="254"/>
      <c r="P105" s="255"/>
      <c r="Q105" s="568"/>
      <c r="R105" s="95"/>
      <c r="S105" s="13"/>
      <c r="T105" s="254"/>
      <c r="U105" s="258"/>
      <c r="V105" s="568"/>
      <c r="W105" s="95"/>
      <c r="X105" s="13"/>
      <c r="Y105" s="254"/>
      <c r="Z105" s="258"/>
      <c r="AA105" s="568"/>
      <c r="AB105" s="95"/>
      <c r="AC105" s="13"/>
      <c r="AD105" s="254"/>
      <c r="AE105" s="277"/>
      <c r="AF105" s="590"/>
      <c r="AG105" s="13"/>
      <c r="AH105" s="13"/>
      <c r="AI105" s="57"/>
      <c r="AJ105" s="59"/>
      <c r="AK105" s="91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</row>
    <row r="106" spans="1:87" s="1" customFormat="1" ht="18" hidden="1" customHeight="1">
      <c r="A106" s="515"/>
      <c r="B106" s="600"/>
      <c r="C106" s="4"/>
      <c r="D106" s="4"/>
      <c r="E106" s="73"/>
      <c r="F106" s="86"/>
      <c r="G106" s="568"/>
      <c r="H106" s="95"/>
      <c r="I106" s="13"/>
      <c r="J106" s="254"/>
      <c r="K106" s="258"/>
      <c r="L106" s="573"/>
      <c r="M106" s="95"/>
      <c r="N106" s="13"/>
      <c r="O106" s="254"/>
      <c r="P106" s="255"/>
      <c r="Q106" s="568"/>
      <c r="R106" s="95"/>
      <c r="S106" s="13"/>
      <c r="T106" s="254"/>
      <c r="U106" s="258"/>
      <c r="V106" s="568"/>
      <c r="W106" s="95"/>
      <c r="X106" s="13"/>
      <c r="Y106" s="254"/>
      <c r="Z106" s="258"/>
      <c r="AA106" s="568"/>
      <c r="AB106" s="95"/>
      <c r="AC106" s="13"/>
      <c r="AD106" s="254"/>
      <c r="AE106" s="277"/>
      <c r="AF106" s="590"/>
      <c r="AG106" s="13"/>
      <c r="AH106" s="13"/>
      <c r="AI106" s="57"/>
      <c r="AJ106" s="59"/>
      <c r="AK106" s="91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</row>
    <row r="107" spans="1:87" s="1" customFormat="1" ht="18" hidden="1" customHeight="1">
      <c r="A107" s="515"/>
      <c r="B107" s="600"/>
      <c r="C107" s="4"/>
      <c r="D107" s="4"/>
      <c r="E107" s="73"/>
      <c r="F107" s="86"/>
      <c r="G107" s="568"/>
      <c r="H107" s="95"/>
      <c r="I107" s="13"/>
      <c r="J107" s="254"/>
      <c r="K107" s="258"/>
      <c r="L107" s="573"/>
      <c r="M107" s="95"/>
      <c r="N107" s="13"/>
      <c r="O107" s="254"/>
      <c r="P107" s="255"/>
      <c r="Q107" s="568"/>
      <c r="R107" s="95"/>
      <c r="S107" s="13"/>
      <c r="T107" s="254"/>
      <c r="U107" s="258"/>
      <c r="V107" s="568"/>
      <c r="W107" s="95"/>
      <c r="X107" s="13"/>
      <c r="Y107" s="254"/>
      <c r="Z107" s="258"/>
      <c r="AA107" s="568"/>
      <c r="AB107" s="95"/>
      <c r="AC107" s="13"/>
      <c r="AD107" s="254"/>
      <c r="AE107" s="277"/>
      <c r="AF107" s="590"/>
      <c r="AG107" s="13"/>
      <c r="AH107" s="13"/>
      <c r="AI107" s="57"/>
      <c r="AJ107" s="59"/>
      <c r="AK107" s="91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</row>
    <row r="108" spans="1:87" s="1" customFormat="1" ht="18" hidden="1" customHeight="1">
      <c r="A108" s="593"/>
      <c r="B108" s="601"/>
      <c r="C108" s="5"/>
      <c r="D108" s="5"/>
      <c r="E108" s="74"/>
      <c r="F108" s="87"/>
      <c r="G108" s="569"/>
      <c r="H108" s="95"/>
      <c r="I108" s="13"/>
      <c r="J108" s="254"/>
      <c r="K108" s="259"/>
      <c r="L108" s="574"/>
      <c r="M108" s="95"/>
      <c r="N108" s="13"/>
      <c r="O108" s="254"/>
      <c r="P108" s="257"/>
      <c r="Q108" s="569"/>
      <c r="R108" s="95"/>
      <c r="S108" s="13"/>
      <c r="T108" s="254"/>
      <c r="U108" s="259"/>
      <c r="V108" s="569"/>
      <c r="W108" s="95"/>
      <c r="X108" s="13"/>
      <c r="Y108" s="254"/>
      <c r="Z108" s="259"/>
      <c r="AA108" s="569"/>
      <c r="AB108" s="95"/>
      <c r="AC108" s="13"/>
      <c r="AD108" s="254"/>
      <c r="AE108" s="337"/>
      <c r="AF108" s="591"/>
      <c r="AG108" s="13"/>
      <c r="AH108" s="13"/>
      <c r="AI108" s="57"/>
      <c r="AJ108" s="60"/>
      <c r="AK108" s="91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</row>
    <row r="109" spans="1:87" s="1" customFormat="1" ht="18" customHeight="1">
      <c r="A109" s="592" t="s">
        <v>53</v>
      </c>
      <c r="B109" s="542"/>
      <c r="C109" s="70"/>
      <c r="D109" s="71"/>
      <c r="E109" s="72"/>
      <c r="F109" s="51"/>
      <c r="G109" s="594" t="s">
        <v>387</v>
      </c>
      <c r="H109" s="387" t="s">
        <v>386</v>
      </c>
      <c r="I109" s="388"/>
      <c r="J109" s="372">
        <f>ROUND(70*J$266/1000,0)</f>
        <v>41</v>
      </c>
      <c r="K109" s="421" t="s">
        <v>5</v>
      </c>
      <c r="L109" s="597" t="s">
        <v>254</v>
      </c>
      <c r="M109" s="120" t="s">
        <v>267</v>
      </c>
      <c r="N109" s="123"/>
      <c r="O109" s="121">
        <f>ROUND(20*O$266/1000,0)</f>
        <v>12</v>
      </c>
      <c r="P109" s="122" t="s">
        <v>5</v>
      </c>
      <c r="Q109" s="594" t="s">
        <v>306</v>
      </c>
      <c r="R109" s="387" t="s">
        <v>138</v>
      </c>
      <c r="S109" s="388"/>
      <c r="T109" s="372">
        <f>ROUND(60*T$266/1000,0)</f>
        <v>35</v>
      </c>
      <c r="U109" s="122" t="s">
        <v>5</v>
      </c>
      <c r="V109" s="594" t="s">
        <v>336</v>
      </c>
      <c r="W109" s="387" t="s">
        <v>169</v>
      </c>
      <c r="X109" s="123"/>
      <c r="Y109" s="372">
        <f>ROUND(50*Y$266/1000,0)</f>
        <v>30</v>
      </c>
      <c r="Z109" s="122" t="s">
        <v>5</v>
      </c>
      <c r="AA109" s="597" t="s">
        <v>255</v>
      </c>
      <c r="AB109" s="120" t="s">
        <v>139</v>
      </c>
      <c r="AC109" s="123"/>
      <c r="AD109" s="121">
        <f>ROUND(50*AD$266/1000,0)</f>
        <v>30</v>
      </c>
      <c r="AE109" s="122" t="s">
        <v>5</v>
      </c>
      <c r="AF109" s="528"/>
      <c r="AG109" s="191"/>
      <c r="AH109" s="192"/>
      <c r="AI109" s="193"/>
      <c r="AJ109" s="122" t="s">
        <v>0</v>
      </c>
      <c r="AK109" s="91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</row>
    <row r="110" spans="1:87" s="1" customFormat="1" ht="18" customHeight="1">
      <c r="A110" s="515"/>
      <c r="B110" s="543"/>
      <c r="C110" s="3"/>
      <c r="D110" s="4"/>
      <c r="E110" s="73"/>
      <c r="F110" s="52"/>
      <c r="G110" s="595"/>
      <c r="H110" s="370" t="s">
        <v>83</v>
      </c>
      <c r="I110" s="389"/>
      <c r="J110" s="371">
        <f>ROUND(15*J$266/1000,0)</f>
        <v>9</v>
      </c>
      <c r="K110" s="422" t="s">
        <v>5</v>
      </c>
      <c r="L110" s="598"/>
      <c r="M110" s="124" t="s">
        <v>268</v>
      </c>
      <c r="N110" s="128" t="s">
        <v>149</v>
      </c>
      <c r="O110" s="126">
        <f>ROUND(15*O$266/1000,0)</f>
        <v>9</v>
      </c>
      <c r="P110" s="127" t="s">
        <v>5</v>
      </c>
      <c r="Q110" s="595"/>
      <c r="R110" s="370" t="s">
        <v>262</v>
      </c>
      <c r="S110" s="389"/>
      <c r="T110" s="371">
        <f>ROUND(5*T$266/1000,0)</f>
        <v>3</v>
      </c>
      <c r="U110" s="127" t="s">
        <v>5</v>
      </c>
      <c r="V110" s="595"/>
      <c r="W110" s="370" t="s">
        <v>122</v>
      </c>
      <c r="X110" s="128"/>
      <c r="Y110" s="371">
        <f>ROUND(27*Y$266/1000,0)</f>
        <v>16</v>
      </c>
      <c r="Z110" s="127" t="s">
        <v>5</v>
      </c>
      <c r="AA110" s="598"/>
      <c r="AB110" s="124" t="s">
        <v>6</v>
      </c>
      <c r="AC110" s="128"/>
      <c r="AD110" s="126">
        <v>2</v>
      </c>
      <c r="AE110" s="127" t="s">
        <v>5</v>
      </c>
      <c r="AF110" s="529"/>
      <c r="AG110" s="198"/>
      <c r="AH110" s="199"/>
      <c r="AI110" s="200"/>
      <c r="AJ110" s="125" t="s">
        <v>0</v>
      </c>
      <c r="AK110" s="91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</row>
    <row r="111" spans="1:87" s="1" customFormat="1" ht="18" customHeight="1">
      <c r="A111" s="515"/>
      <c r="B111" s="543"/>
      <c r="C111" s="3"/>
      <c r="D111" s="4"/>
      <c r="E111" s="73"/>
      <c r="F111" s="52"/>
      <c r="G111" s="595"/>
      <c r="H111" s="370" t="s">
        <v>131</v>
      </c>
      <c r="I111" s="389"/>
      <c r="J111" s="371">
        <f>ROUND(10*J$266/1000,0)</f>
        <v>6</v>
      </c>
      <c r="K111" s="422" t="s">
        <v>5</v>
      </c>
      <c r="L111" s="598"/>
      <c r="M111" s="124" t="s">
        <v>120</v>
      </c>
      <c r="N111" s="128"/>
      <c r="O111" s="126">
        <f>ROUND(30*O$266/1000,0)</f>
        <v>18</v>
      </c>
      <c r="P111" s="127" t="s">
        <v>5</v>
      </c>
      <c r="Q111" s="595"/>
      <c r="R111" s="370" t="s">
        <v>307</v>
      </c>
      <c r="S111" s="389"/>
      <c r="T111" s="371">
        <v>1</v>
      </c>
      <c r="U111" s="127" t="s">
        <v>5</v>
      </c>
      <c r="V111" s="595"/>
      <c r="W111" s="370" t="s">
        <v>129</v>
      </c>
      <c r="X111" s="128"/>
      <c r="Y111" s="371">
        <v>2</v>
      </c>
      <c r="Z111" s="127" t="s">
        <v>5</v>
      </c>
      <c r="AA111" s="598"/>
      <c r="AB111" s="370" t="s">
        <v>94</v>
      </c>
      <c r="AC111" s="389" t="s">
        <v>95</v>
      </c>
      <c r="AD111" s="371">
        <v>0.6</v>
      </c>
      <c r="AE111" s="127" t="s">
        <v>5</v>
      </c>
      <c r="AF111" s="529"/>
      <c r="AG111" s="198"/>
      <c r="AH111" s="199"/>
      <c r="AI111" s="200"/>
      <c r="AJ111" s="125" t="s">
        <v>0</v>
      </c>
      <c r="AK111" s="9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</row>
    <row r="112" spans="1:87" s="1" customFormat="1" ht="18" customHeight="1">
      <c r="A112" s="515"/>
      <c r="B112" s="543"/>
      <c r="C112" s="3"/>
      <c r="D112" s="4"/>
      <c r="E112" s="73"/>
      <c r="F112" s="52"/>
      <c r="G112" s="595"/>
      <c r="H112" s="370"/>
      <c r="I112" s="128"/>
      <c r="J112" s="371"/>
      <c r="K112" s="127" t="s">
        <v>5</v>
      </c>
      <c r="L112" s="598"/>
      <c r="M112" s="124"/>
      <c r="N112" s="128"/>
      <c r="O112" s="126"/>
      <c r="P112" s="127" t="s">
        <v>5</v>
      </c>
      <c r="Q112" s="595"/>
      <c r="R112" s="370" t="s">
        <v>137</v>
      </c>
      <c r="S112" s="389"/>
      <c r="T112" s="371">
        <f>ROUND(11*T$266/1000,0)</f>
        <v>6</v>
      </c>
      <c r="U112" s="127" t="s">
        <v>5</v>
      </c>
      <c r="V112" s="595"/>
      <c r="W112" s="370" t="s">
        <v>231</v>
      </c>
      <c r="X112" s="128"/>
      <c r="Y112" s="371">
        <v>0.6</v>
      </c>
      <c r="Z112" s="127" t="s">
        <v>5</v>
      </c>
      <c r="AA112" s="598"/>
      <c r="AB112" s="370" t="s">
        <v>131</v>
      </c>
      <c r="AC112" s="389"/>
      <c r="AD112" s="447">
        <v>2</v>
      </c>
      <c r="AE112" s="127" t="s">
        <v>5</v>
      </c>
      <c r="AF112" s="529"/>
      <c r="AG112" s="198"/>
      <c r="AH112" s="199"/>
      <c r="AI112" s="200"/>
      <c r="AJ112" s="125" t="s">
        <v>0</v>
      </c>
      <c r="AK112" s="91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</row>
    <row r="113" spans="1:87" s="1" customFormat="1" ht="18" customHeight="1">
      <c r="A113" s="515"/>
      <c r="B113" s="543"/>
      <c r="C113" s="3"/>
      <c r="D113" s="4"/>
      <c r="E113" s="73"/>
      <c r="F113" s="52"/>
      <c r="G113" s="595"/>
      <c r="H113" s="370"/>
      <c r="I113" s="128"/>
      <c r="J113" s="371"/>
      <c r="K113" s="127" t="s">
        <v>5</v>
      </c>
      <c r="L113" s="598"/>
      <c r="M113" s="124"/>
      <c r="N113" s="128"/>
      <c r="O113" s="126"/>
      <c r="P113" s="127" t="s">
        <v>5</v>
      </c>
      <c r="Q113" s="595"/>
      <c r="R113" s="370"/>
      <c r="S113" s="389"/>
      <c r="T113" s="371"/>
      <c r="U113" s="127" t="s">
        <v>5</v>
      </c>
      <c r="V113" s="595"/>
      <c r="W113" s="124"/>
      <c r="X113" s="128"/>
      <c r="Y113" s="126"/>
      <c r="Z113" s="127" t="s">
        <v>5</v>
      </c>
      <c r="AA113" s="598"/>
      <c r="AB113" s="124"/>
      <c r="AC113" s="128"/>
      <c r="AD113" s="126"/>
      <c r="AE113" s="127" t="s">
        <v>5</v>
      </c>
      <c r="AF113" s="529"/>
      <c r="AG113" s="198"/>
      <c r="AH113" s="199"/>
      <c r="AI113" s="200"/>
      <c r="AJ113" s="125" t="s">
        <v>0</v>
      </c>
      <c r="AK113" s="91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</row>
    <row r="114" spans="1:87" s="1" customFormat="1" ht="18" customHeight="1">
      <c r="A114" s="515"/>
      <c r="B114" s="543"/>
      <c r="C114" s="3"/>
      <c r="D114" s="4"/>
      <c r="E114" s="73"/>
      <c r="F114" s="52"/>
      <c r="G114" s="595"/>
      <c r="H114" s="124"/>
      <c r="I114" s="128"/>
      <c r="J114" s="126"/>
      <c r="K114" s="127" t="s">
        <v>5</v>
      </c>
      <c r="L114" s="598"/>
      <c r="M114" s="124"/>
      <c r="N114" s="128"/>
      <c r="O114" s="126"/>
      <c r="P114" s="127" t="s">
        <v>5</v>
      </c>
      <c r="Q114" s="595"/>
      <c r="R114" s="370"/>
      <c r="S114" s="389"/>
      <c r="T114" s="371"/>
      <c r="U114" s="127" t="s">
        <v>5</v>
      </c>
      <c r="V114" s="595"/>
      <c r="W114" s="124"/>
      <c r="X114" s="128"/>
      <c r="Y114" s="126"/>
      <c r="Z114" s="127" t="s">
        <v>5</v>
      </c>
      <c r="AA114" s="598"/>
      <c r="AB114" s="124"/>
      <c r="AC114" s="128"/>
      <c r="AD114" s="126"/>
      <c r="AE114" s="127" t="s">
        <v>5</v>
      </c>
      <c r="AF114" s="529"/>
      <c r="AG114" s="198"/>
      <c r="AH114" s="199"/>
      <c r="AI114" s="200"/>
      <c r="AJ114" s="125" t="s">
        <v>0</v>
      </c>
      <c r="AK114" s="91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</row>
    <row r="115" spans="1:87" s="1" customFormat="1" ht="18" customHeight="1" thickBot="1">
      <c r="A115" s="515"/>
      <c r="B115" s="543"/>
      <c r="C115" s="3"/>
      <c r="D115" s="4"/>
      <c r="E115" s="73"/>
      <c r="F115" s="52"/>
      <c r="G115" s="595"/>
      <c r="H115" s="129"/>
      <c r="I115" s="132"/>
      <c r="J115" s="126"/>
      <c r="K115" s="127" t="s">
        <v>5</v>
      </c>
      <c r="L115" s="598"/>
      <c r="M115" s="129"/>
      <c r="N115" s="132"/>
      <c r="O115" s="126"/>
      <c r="P115" s="127" t="s">
        <v>5</v>
      </c>
      <c r="Q115" s="595"/>
      <c r="R115" s="390"/>
      <c r="S115" s="391"/>
      <c r="T115" s="371"/>
      <c r="U115" s="127" t="s">
        <v>5</v>
      </c>
      <c r="V115" s="595"/>
      <c r="W115" s="129"/>
      <c r="X115" s="132"/>
      <c r="Y115" s="126"/>
      <c r="Z115" s="127" t="s">
        <v>5</v>
      </c>
      <c r="AA115" s="598"/>
      <c r="AB115" s="129"/>
      <c r="AC115" s="132"/>
      <c r="AD115" s="126"/>
      <c r="AE115" s="127" t="s">
        <v>5</v>
      </c>
      <c r="AF115" s="529"/>
      <c r="AG115" s="198"/>
      <c r="AH115" s="199"/>
      <c r="AI115" s="200"/>
      <c r="AJ115" s="125" t="s">
        <v>0</v>
      </c>
      <c r="AK115" s="91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</row>
    <row r="116" spans="1:87" s="1" customFormat="1" ht="18" hidden="1" customHeight="1" thickBot="1">
      <c r="A116" s="515"/>
      <c r="B116" s="543"/>
      <c r="C116" s="3"/>
      <c r="D116" s="4"/>
      <c r="E116" s="73"/>
      <c r="F116" s="52"/>
      <c r="G116" s="595"/>
      <c r="H116" s="226"/>
      <c r="I116" s="128"/>
      <c r="J116" s="126"/>
      <c r="K116" s="127"/>
      <c r="L116" s="598"/>
      <c r="M116" s="226"/>
      <c r="N116" s="128"/>
      <c r="O116" s="126"/>
      <c r="P116" s="127"/>
      <c r="Q116" s="595"/>
      <c r="R116" s="392"/>
      <c r="S116" s="389"/>
      <c r="T116" s="371"/>
      <c r="U116" s="127"/>
      <c r="V116" s="595"/>
      <c r="W116" s="226"/>
      <c r="X116" s="128"/>
      <c r="Y116" s="126"/>
      <c r="Z116" s="127"/>
      <c r="AA116" s="598"/>
      <c r="AB116" s="226"/>
      <c r="AC116" s="128"/>
      <c r="AD116" s="126"/>
      <c r="AE116" s="127"/>
      <c r="AF116" s="529"/>
      <c r="AG116" s="198"/>
      <c r="AH116" s="199"/>
      <c r="AI116" s="200"/>
      <c r="AJ116" s="125"/>
      <c r="AK116" s="91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</row>
    <row r="117" spans="1:87" s="1" customFormat="1" ht="18" hidden="1" customHeight="1">
      <c r="A117" s="515"/>
      <c r="B117" s="543"/>
      <c r="C117" s="3"/>
      <c r="D117" s="4"/>
      <c r="E117" s="73"/>
      <c r="F117" s="52"/>
      <c r="G117" s="595"/>
      <c r="H117" s="226"/>
      <c r="I117" s="128"/>
      <c r="J117" s="126"/>
      <c r="K117" s="127"/>
      <c r="L117" s="598"/>
      <c r="M117" s="226"/>
      <c r="N117" s="128"/>
      <c r="O117" s="126"/>
      <c r="P117" s="127"/>
      <c r="Q117" s="595"/>
      <c r="R117" s="392"/>
      <c r="S117" s="389"/>
      <c r="T117" s="371"/>
      <c r="U117" s="127"/>
      <c r="V117" s="595"/>
      <c r="W117" s="226"/>
      <c r="X117" s="128"/>
      <c r="Y117" s="126"/>
      <c r="Z117" s="127"/>
      <c r="AA117" s="598"/>
      <c r="AB117" s="226"/>
      <c r="AC117" s="128"/>
      <c r="AD117" s="126"/>
      <c r="AE117" s="127"/>
      <c r="AF117" s="529"/>
      <c r="AG117" s="198"/>
      <c r="AH117" s="199"/>
      <c r="AI117" s="200"/>
      <c r="AJ117" s="125"/>
      <c r="AK117" s="91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</row>
    <row r="118" spans="1:87" s="1" customFormat="1" ht="18" hidden="1" customHeight="1">
      <c r="A118" s="515"/>
      <c r="B118" s="543"/>
      <c r="C118" s="3"/>
      <c r="D118" s="4"/>
      <c r="E118" s="73"/>
      <c r="F118" s="52"/>
      <c r="G118" s="595"/>
      <c r="H118" s="226"/>
      <c r="I118" s="128"/>
      <c r="J118" s="126"/>
      <c r="K118" s="133"/>
      <c r="L118" s="598"/>
      <c r="M118" s="226"/>
      <c r="N118" s="128"/>
      <c r="O118" s="126"/>
      <c r="P118" s="133"/>
      <c r="Q118" s="595"/>
      <c r="R118" s="392"/>
      <c r="S118" s="389"/>
      <c r="T118" s="371"/>
      <c r="U118" s="133"/>
      <c r="V118" s="595"/>
      <c r="W118" s="226"/>
      <c r="X118" s="128"/>
      <c r="Y118" s="126"/>
      <c r="Z118" s="133"/>
      <c r="AA118" s="598"/>
      <c r="AB118" s="226"/>
      <c r="AC118" s="128"/>
      <c r="AD118" s="126"/>
      <c r="AE118" s="133"/>
      <c r="AF118" s="529"/>
      <c r="AG118" s="198"/>
      <c r="AH118" s="199"/>
      <c r="AI118" s="200"/>
      <c r="AJ118" s="265"/>
      <c r="AK118" s="91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</row>
    <row r="119" spans="1:87" s="1" customFormat="1" ht="18" hidden="1" customHeight="1">
      <c r="A119" s="515"/>
      <c r="B119" s="543"/>
      <c r="C119" s="3"/>
      <c r="D119" s="4"/>
      <c r="E119" s="73"/>
      <c r="F119" s="52"/>
      <c r="G119" s="595"/>
      <c r="H119" s="226"/>
      <c r="I119" s="128"/>
      <c r="J119" s="126"/>
      <c r="K119" s="133"/>
      <c r="L119" s="598"/>
      <c r="M119" s="226"/>
      <c r="N119" s="128"/>
      <c r="O119" s="126"/>
      <c r="P119" s="133"/>
      <c r="Q119" s="595"/>
      <c r="R119" s="392"/>
      <c r="S119" s="389"/>
      <c r="T119" s="371"/>
      <c r="U119" s="133"/>
      <c r="V119" s="595"/>
      <c r="W119" s="226"/>
      <c r="X119" s="128"/>
      <c r="Y119" s="126"/>
      <c r="Z119" s="133"/>
      <c r="AA119" s="598"/>
      <c r="AB119" s="226"/>
      <c r="AC119" s="128"/>
      <c r="AD119" s="126"/>
      <c r="AE119" s="133"/>
      <c r="AF119" s="529"/>
      <c r="AG119" s="198"/>
      <c r="AH119" s="199"/>
      <c r="AI119" s="200"/>
      <c r="AJ119" s="265"/>
      <c r="AK119" s="91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</row>
    <row r="120" spans="1:87" s="1" customFormat="1" ht="18" hidden="1" customHeight="1">
      <c r="A120" s="515"/>
      <c r="B120" s="543"/>
      <c r="C120" s="3"/>
      <c r="D120" s="4"/>
      <c r="E120" s="73"/>
      <c r="F120" s="52"/>
      <c r="G120" s="595"/>
      <c r="H120" s="226"/>
      <c r="I120" s="128"/>
      <c r="J120" s="126"/>
      <c r="K120" s="133"/>
      <c r="L120" s="598"/>
      <c r="M120" s="226"/>
      <c r="N120" s="128"/>
      <c r="O120" s="126"/>
      <c r="P120" s="133"/>
      <c r="Q120" s="595"/>
      <c r="R120" s="392"/>
      <c r="S120" s="389"/>
      <c r="T120" s="371"/>
      <c r="U120" s="133"/>
      <c r="V120" s="595"/>
      <c r="W120" s="226"/>
      <c r="X120" s="128"/>
      <c r="Y120" s="126"/>
      <c r="Z120" s="133"/>
      <c r="AA120" s="598"/>
      <c r="AB120" s="226"/>
      <c r="AC120" s="128"/>
      <c r="AD120" s="126"/>
      <c r="AE120" s="133"/>
      <c r="AF120" s="529"/>
      <c r="AG120" s="198"/>
      <c r="AH120" s="199"/>
      <c r="AI120" s="200"/>
      <c r="AJ120" s="265"/>
      <c r="AK120" s="91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</row>
    <row r="121" spans="1:87" s="1" customFormat="1" ht="18" hidden="1" customHeight="1">
      <c r="A121" s="515"/>
      <c r="B121" s="543"/>
      <c r="C121" s="3"/>
      <c r="D121" s="4"/>
      <c r="E121" s="73"/>
      <c r="F121" s="52"/>
      <c r="G121" s="595"/>
      <c r="H121" s="226"/>
      <c r="I121" s="128"/>
      <c r="J121" s="126"/>
      <c r="K121" s="133"/>
      <c r="L121" s="598"/>
      <c r="M121" s="226"/>
      <c r="N121" s="128"/>
      <c r="O121" s="126"/>
      <c r="P121" s="133"/>
      <c r="Q121" s="595"/>
      <c r="R121" s="392"/>
      <c r="S121" s="389"/>
      <c r="T121" s="371"/>
      <c r="U121" s="133"/>
      <c r="V121" s="595"/>
      <c r="W121" s="226"/>
      <c r="X121" s="128"/>
      <c r="Y121" s="126"/>
      <c r="Z121" s="133"/>
      <c r="AA121" s="598"/>
      <c r="AB121" s="226"/>
      <c r="AC121" s="128"/>
      <c r="AD121" s="126"/>
      <c r="AE121" s="133"/>
      <c r="AF121" s="529"/>
      <c r="AG121" s="198"/>
      <c r="AH121" s="199"/>
      <c r="AI121" s="200"/>
      <c r="AJ121" s="265"/>
      <c r="AK121" s="9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</row>
    <row r="122" spans="1:87" s="1" customFormat="1" ht="18" hidden="1" customHeight="1">
      <c r="A122" s="515"/>
      <c r="B122" s="543"/>
      <c r="C122" s="3"/>
      <c r="D122" s="4"/>
      <c r="E122" s="73"/>
      <c r="F122" s="52"/>
      <c r="G122" s="595"/>
      <c r="H122" s="226"/>
      <c r="I122" s="128"/>
      <c r="J122" s="126"/>
      <c r="K122" s="133"/>
      <c r="L122" s="598"/>
      <c r="M122" s="226"/>
      <c r="N122" s="128"/>
      <c r="O122" s="126"/>
      <c r="P122" s="133"/>
      <c r="Q122" s="595"/>
      <c r="R122" s="392"/>
      <c r="S122" s="389"/>
      <c r="T122" s="371"/>
      <c r="U122" s="133"/>
      <c r="V122" s="595"/>
      <c r="W122" s="226"/>
      <c r="X122" s="128"/>
      <c r="Y122" s="126"/>
      <c r="Z122" s="133"/>
      <c r="AA122" s="598"/>
      <c r="AB122" s="226"/>
      <c r="AC122" s="128"/>
      <c r="AD122" s="126"/>
      <c r="AE122" s="133"/>
      <c r="AF122" s="529"/>
      <c r="AG122" s="198"/>
      <c r="AH122" s="199"/>
      <c r="AI122" s="200"/>
      <c r="AJ122" s="265"/>
      <c r="AK122" s="91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</row>
    <row r="123" spans="1:87" s="1" customFormat="1" ht="18" hidden="1" customHeight="1">
      <c r="A123" s="593"/>
      <c r="B123" s="544"/>
      <c r="C123" s="6"/>
      <c r="D123" s="5"/>
      <c r="E123" s="74"/>
      <c r="F123" s="53"/>
      <c r="G123" s="596"/>
      <c r="H123" s="130"/>
      <c r="I123" s="132"/>
      <c r="J123" s="131"/>
      <c r="K123" s="134"/>
      <c r="L123" s="599"/>
      <c r="M123" s="130"/>
      <c r="N123" s="132"/>
      <c r="O123" s="131"/>
      <c r="P123" s="134"/>
      <c r="Q123" s="596"/>
      <c r="R123" s="393"/>
      <c r="S123" s="391"/>
      <c r="T123" s="394"/>
      <c r="U123" s="134"/>
      <c r="V123" s="596"/>
      <c r="W123" s="130"/>
      <c r="X123" s="132"/>
      <c r="Y123" s="131"/>
      <c r="Z123" s="134"/>
      <c r="AA123" s="599"/>
      <c r="AB123" s="130"/>
      <c r="AC123" s="132"/>
      <c r="AD123" s="131"/>
      <c r="AE123" s="134"/>
      <c r="AF123" s="530"/>
      <c r="AG123" s="205"/>
      <c r="AH123" s="206"/>
      <c r="AI123" s="207"/>
      <c r="AJ123" s="266"/>
      <c r="AK123" s="91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</row>
    <row r="124" spans="1:87" s="1" customFormat="1" ht="18" hidden="1" customHeight="1">
      <c r="A124" s="592" t="s">
        <v>54</v>
      </c>
      <c r="B124" s="542"/>
      <c r="C124" s="70"/>
      <c r="D124" s="71"/>
      <c r="E124" s="72"/>
      <c r="F124" s="51"/>
      <c r="G124" s="529"/>
      <c r="H124" s="95"/>
      <c r="I124" s="13"/>
      <c r="J124" s="57"/>
      <c r="K124" s="105"/>
      <c r="L124" s="529"/>
      <c r="M124" s="95"/>
      <c r="N124" s="13"/>
      <c r="O124" s="57"/>
      <c r="P124" s="104"/>
      <c r="Q124" s="529"/>
      <c r="R124" s="95"/>
      <c r="S124" s="95"/>
      <c r="T124" s="57"/>
      <c r="U124" s="105"/>
      <c r="V124" s="529"/>
      <c r="W124" s="95"/>
      <c r="X124" s="13"/>
      <c r="Y124" s="57"/>
      <c r="Z124" s="105"/>
      <c r="AA124" s="529"/>
      <c r="AB124" s="208"/>
      <c r="AC124" s="13"/>
      <c r="AD124" s="57"/>
      <c r="AE124" s="105"/>
      <c r="AF124" s="528"/>
      <c r="AG124" s="191"/>
      <c r="AH124" s="192"/>
      <c r="AI124" s="193"/>
      <c r="AJ124" s="63"/>
      <c r="AK124" s="91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</row>
    <row r="125" spans="1:87" s="1" customFormat="1" ht="18" hidden="1" customHeight="1">
      <c r="A125" s="515"/>
      <c r="B125" s="543"/>
      <c r="C125" s="3"/>
      <c r="D125" s="4"/>
      <c r="E125" s="73"/>
      <c r="F125" s="52"/>
      <c r="G125" s="529"/>
      <c r="H125" s="95"/>
      <c r="I125" s="13"/>
      <c r="J125" s="57"/>
      <c r="K125" s="105"/>
      <c r="L125" s="529"/>
      <c r="M125" s="95"/>
      <c r="N125" s="13"/>
      <c r="O125" s="57"/>
      <c r="P125" s="104"/>
      <c r="Q125" s="529"/>
      <c r="R125" s="95"/>
      <c r="S125" s="95"/>
      <c r="T125" s="57"/>
      <c r="U125" s="105"/>
      <c r="V125" s="529"/>
      <c r="W125" s="95"/>
      <c r="X125" s="13"/>
      <c r="Y125" s="57"/>
      <c r="Z125" s="105"/>
      <c r="AA125" s="529"/>
      <c r="AB125" s="208"/>
      <c r="AC125" s="13"/>
      <c r="AD125" s="57"/>
      <c r="AE125" s="105"/>
      <c r="AF125" s="529"/>
      <c r="AG125" s="198"/>
      <c r="AH125" s="199"/>
      <c r="AI125" s="200"/>
      <c r="AJ125" s="63"/>
      <c r="AK125" s="91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</row>
    <row r="126" spans="1:87" s="1" customFormat="1" ht="18" hidden="1" customHeight="1">
      <c r="A126" s="515"/>
      <c r="B126" s="543"/>
      <c r="C126" s="3"/>
      <c r="D126" s="4"/>
      <c r="E126" s="73"/>
      <c r="F126" s="52"/>
      <c r="G126" s="529"/>
      <c r="H126" s="95"/>
      <c r="I126" s="13"/>
      <c r="J126" s="57"/>
      <c r="K126" s="105"/>
      <c r="L126" s="529"/>
      <c r="M126" s="95"/>
      <c r="N126" s="13"/>
      <c r="O126" s="57"/>
      <c r="P126" s="104"/>
      <c r="Q126" s="529"/>
      <c r="R126" s="95"/>
      <c r="S126" s="95"/>
      <c r="T126" s="57"/>
      <c r="U126" s="105"/>
      <c r="V126" s="529"/>
      <c r="W126" s="95"/>
      <c r="X126" s="13"/>
      <c r="Y126" s="57"/>
      <c r="Z126" s="105"/>
      <c r="AA126" s="529"/>
      <c r="AB126" s="208"/>
      <c r="AC126" s="13"/>
      <c r="AD126" s="57"/>
      <c r="AE126" s="105"/>
      <c r="AF126" s="529"/>
      <c r="AG126" s="198"/>
      <c r="AH126" s="199"/>
      <c r="AI126" s="200"/>
      <c r="AJ126" s="63"/>
      <c r="AK126" s="91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</row>
    <row r="127" spans="1:87" s="1" customFormat="1" ht="18" hidden="1" customHeight="1">
      <c r="A127" s="515"/>
      <c r="B127" s="543"/>
      <c r="C127" s="3"/>
      <c r="D127" s="4"/>
      <c r="E127" s="73"/>
      <c r="F127" s="52"/>
      <c r="G127" s="529"/>
      <c r="H127" s="95"/>
      <c r="I127" s="13"/>
      <c r="J127" s="57"/>
      <c r="K127" s="105"/>
      <c r="L127" s="529"/>
      <c r="M127" s="95"/>
      <c r="N127" s="13"/>
      <c r="O127" s="57"/>
      <c r="P127" s="104"/>
      <c r="Q127" s="529"/>
      <c r="R127" s="95"/>
      <c r="S127" s="95"/>
      <c r="T127" s="57"/>
      <c r="U127" s="105"/>
      <c r="V127" s="529"/>
      <c r="W127" s="95"/>
      <c r="X127" s="13"/>
      <c r="Y127" s="57"/>
      <c r="Z127" s="105"/>
      <c r="AA127" s="529"/>
      <c r="AB127" s="208"/>
      <c r="AC127" s="13"/>
      <c r="AD127" s="57"/>
      <c r="AE127" s="105"/>
      <c r="AF127" s="529"/>
      <c r="AG127" s="198"/>
      <c r="AH127" s="199"/>
      <c r="AI127" s="200"/>
      <c r="AJ127" s="63"/>
      <c r="AK127" s="91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</row>
    <row r="128" spans="1:87" s="1" customFormat="1" ht="18" hidden="1" customHeight="1">
      <c r="A128" s="515"/>
      <c r="B128" s="543"/>
      <c r="C128" s="3"/>
      <c r="D128" s="4"/>
      <c r="E128" s="73"/>
      <c r="F128" s="52"/>
      <c r="G128" s="529"/>
      <c r="H128" s="95"/>
      <c r="I128" s="13"/>
      <c r="J128" s="57"/>
      <c r="K128" s="105"/>
      <c r="L128" s="529"/>
      <c r="M128" s="95"/>
      <c r="N128" s="13"/>
      <c r="O128" s="57"/>
      <c r="P128" s="104"/>
      <c r="Q128" s="529"/>
      <c r="R128" s="95"/>
      <c r="S128" s="95"/>
      <c r="T128" s="57"/>
      <c r="U128" s="105"/>
      <c r="V128" s="529"/>
      <c r="W128" s="95"/>
      <c r="X128" s="13"/>
      <c r="Y128" s="57"/>
      <c r="Z128" s="105"/>
      <c r="AA128" s="529"/>
      <c r="AB128" s="208"/>
      <c r="AC128" s="13"/>
      <c r="AD128" s="57"/>
      <c r="AE128" s="105"/>
      <c r="AF128" s="529"/>
      <c r="AG128" s="198"/>
      <c r="AH128" s="199"/>
      <c r="AI128" s="200"/>
      <c r="AJ128" s="63"/>
      <c r="AK128" s="91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</row>
    <row r="129" spans="1:87" s="1" customFormat="1" ht="18" hidden="1" customHeight="1">
      <c r="A129" s="515"/>
      <c r="B129" s="543"/>
      <c r="C129" s="3"/>
      <c r="D129" s="4"/>
      <c r="E129" s="73"/>
      <c r="F129" s="52"/>
      <c r="G129" s="529"/>
      <c r="H129" s="95"/>
      <c r="I129" s="13"/>
      <c r="J129" s="57"/>
      <c r="K129" s="105"/>
      <c r="L129" s="529"/>
      <c r="M129" s="95"/>
      <c r="N129" s="13"/>
      <c r="O129" s="57"/>
      <c r="P129" s="104"/>
      <c r="Q129" s="529"/>
      <c r="R129" s="95"/>
      <c r="S129" s="95"/>
      <c r="T129" s="57"/>
      <c r="U129" s="105"/>
      <c r="V129" s="529"/>
      <c r="W129" s="95"/>
      <c r="X129" s="13"/>
      <c r="Y129" s="57"/>
      <c r="Z129" s="105"/>
      <c r="AA129" s="529"/>
      <c r="AB129" s="208"/>
      <c r="AC129" s="13"/>
      <c r="AD129" s="57"/>
      <c r="AE129" s="105"/>
      <c r="AF129" s="529"/>
      <c r="AG129" s="198"/>
      <c r="AH129" s="199"/>
      <c r="AI129" s="200"/>
      <c r="AJ129" s="63"/>
      <c r="AK129" s="91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</row>
    <row r="130" spans="1:87" s="1" customFormat="1" ht="18" hidden="1" customHeight="1">
      <c r="A130" s="515"/>
      <c r="B130" s="543"/>
      <c r="C130" s="3"/>
      <c r="D130" s="4"/>
      <c r="E130" s="73"/>
      <c r="F130" s="52"/>
      <c r="G130" s="529"/>
      <c r="H130" s="95"/>
      <c r="I130" s="13"/>
      <c r="J130" s="57"/>
      <c r="K130" s="105"/>
      <c r="L130" s="529"/>
      <c r="M130" s="95"/>
      <c r="N130" s="13"/>
      <c r="O130" s="57"/>
      <c r="P130" s="104"/>
      <c r="Q130" s="529"/>
      <c r="R130" s="95"/>
      <c r="S130" s="95"/>
      <c r="T130" s="57"/>
      <c r="U130" s="105"/>
      <c r="V130" s="529"/>
      <c r="W130" s="95"/>
      <c r="X130" s="13"/>
      <c r="Y130" s="57"/>
      <c r="Z130" s="105"/>
      <c r="AA130" s="529"/>
      <c r="AB130" s="208"/>
      <c r="AC130" s="13"/>
      <c r="AD130" s="57"/>
      <c r="AE130" s="105"/>
      <c r="AF130" s="529"/>
      <c r="AG130" s="198"/>
      <c r="AH130" s="199"/>
      <c r="AI130" s="200"/>
      <c r="AJ130" s="63"/>
      <c r="AK130" s="91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</row>
    <row r="131" spans="1:87" s="1" customFormat="1" ht="18" hidden="1" customHeight="1">
      <c r="A131" s="515"/>
      <c r="B131" s="543"/>
      <c r="C131" s="3"/>
      <c r="D131" s="4"/>
      <c r="E131" s="73"/>
      <c r="F131" s="52"/>
      <c r="G131" s="529"/>
      <c r="H131" s="95"/>
      <c r="I131" s="13"/>
      <c r="J131" s="57"/>
      <c r="K131" s="105"/>
      <c r="L131" s="529"/>
      <c r="M131" s="95"/>
      <c r="N131" s="13"/>
      <c r="O131" s="57"/>
      <c r="P131" s="104"/>
      <c r="Q131" s="529"/>
      <c r="R131" s="95"/>
      <c r="S131" s="95"/>
      <c r="T131" s="57"/>
      <c r="U131" s="105"/>
      <c r="V131" s="529"/>
      <c r="W131" s="95"/>
      <c r="X131" s="13"/>
      <c r="Y131" s="57"/>
      <c r="Z131" s="105"/>
      <c r="AA131" s="529"/>
      <c r="AB131" s="208"/>
      <c r="AC131" s="13"/>
      <c r="AD131" s="57"/>
      <c r="AE131" s="105"/>
      <c r="AF131" s="529"/>
      <c r="AG131" s="198"/>
      <c r="AH131" s="199"/>
      <c r="AI131" s="200"/>
      <c r="AJ131" s="63"/>
      <c r="AK131" s="9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</row>
    <row r="132" spans="1:87" s="1" customFormat="1" ht="18" hidden="1" customHeight="1">
      <c r="A132" s="515"/>
      <c r="B132" s="543"/>
      <c r="C132" s="3"/>
      <c r="D132" s="4"/>
      <c r="E132" s="73"/>
      <c r="F132" s="52"/>
      <c r="G132" s="529"/>
      <c r="H132" s="95"/>
      <c r="I132" s="13"/>
      <c r="J132" s="57"/>
      <c r="K132" s="105"/>
      <c r="L132" s="529"/>
      <c r="M132" s="95"/>
      <c r="N132" s="13"/>
      <c r="O132" s="57"/>
      <c r="P132" s="104"/>
      <c r="Q132" s="529"/>
      <c r="R132" s="95"/>
      <c r="S132" s="95"/>
      <c r="T132" s="57"/>
      <c r="U132" s="105"/>
      <c r="V132" s="529"/>
      <c r="W132" s="95"/>
      <c r="X132" s="13"/>
      <c r="Y132" s="57"/>
      <c r="Z132" s="105"/>
      <c r="AA132" s="529"/>
      <c r="AB132" s="208"/>
      <c r="AC132" s="13"/>
      <c r="AD132" s="57"/>
      <c r="AE132" s="105"/>
      <c r="AF132" s="529"/>
      <c r="AG132" s="198"/>
      <c r="AH132" s="199"/>
      <c r="AI132" s="200"/>
      <c r="AJ132" s="63"/>
      <c r="AK132" s="91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</row>
    <row r="133" spans="1:87" s="1" customFormat="1" ht="18" hidden="1" customHeight="1">
      <c r="A133" s="515"/>
      <c r="B133" s="543"/>
      <c r="C133" s="3"/>
      <c r="D133" s="4"/>
      <c r="E133" s="73"/>
      <c r="F133" s="52"/>
      <c r="G133" s="529"/>
      <c r="H133" s="95"/>
      <c r="I133" s="13"/>
      <c r="J133" s="57"/>
      <c r="K133" s="105"/>
      <c r="L133" s="529"/>
      <c r="M133" s="95"/>
      <c r="N133" s="13"/>
      <c r="O133" s="57"/>
      <c r="P133" s="104"/>
      <c r="Q133" s="529"/>
      <c r="R133" s="95"/>
      <c r="S133" s="95"/>
      <c r="T133" s="57"/>
      <c r="U133" s="105"/>
      <c r="V133" s="529"/>
      <c r="W133" s="95"/>
      <c r="X133" s="13"/>
      <c r="Y133" s="57"/>
      <c r="Z133" s="105"/>
      <c r="AA133" s="529"/>
      <c r="AB133" s="208"/>
      <c r="AC133" s="13"/>
      <c r="AD133" s="57"/>
      <c r="AE133" s="105"/>
      <c r="AF133" s="529"/>
      <c r="AG133" s="198"/>
      <c r="AH133" s="199"/>
      <c r="AI133" s="200"/>
      <c r="AJ133" s="63"/>
      <c r="AK133" s="91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</row>
    <row r="134" spans="1:87" s="1" customFormat="1" ht="18" hidden="1" customHeight="1">
      <c r="A134" s="515"/>
      <c r="B134" s="543"/>
      <c r="C134" s="3"/>
      <c r="D134" s="4"/>
      <c r="E134" s="73"/>
      <c r="F134" s="52"/>
      <c r="G134" s="529"/>
      <c r="H134" s="95"/>
      <c r="I134" s="13"/>
      <c r="J134" s="57"/>
      <c r="K134" s="105"/>
      <c r="L134" s="529"/>
      <c r="M134" s="95"/>
      <c r="N134" s="13"/>
      <c r="O134" s="57"/>
      <c r="P134" s="104"/>
      <c r="Q134" s="529"/>
      <c r="R134" s="95"/>
      <c r="S134" s="95"/>
      <c r="T134" s="57"/>
      <c r="U134" s="105"/>
      <c r="V134" s="529"/>
      <c r="W134" s="95"/>
      <c r="X134" s="13"/>
      <c r="Y134" s="57"/>
      <c r="Z134" s="105"/>
      <c r="AA134" s="529"/>
      <c r="AB134" s="208"/>
      <c r="AC134" s="13"/>
      <c r="AD134" s="57"/>
      <c r="AE134" s="105"/>
      <c r="AF134" s="529"/>
      <c r="AG134" s="198"/>
      <c r="AH134" s="199"/>
      <c r="AI134" s="200"/>
      <c r="AJ134" s="63"/>
      <c r="AK134" s="91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</row>
    <row r="135" spans="1:87" s="1" customFormat="1" ht="18" hidden="1" customHeight="1">
      <c r="A135" s="515"/>
      <c r="B135" s="543"/>
      <c r="C135" s="3"/>
      <c r="D135" s="4"/>
      <c r="E135" s="73"/>
      <c r="F135" s="52"/>
      <c r="G135" s="529"/>
      <c r="H135" s="95"/>
      <c r="I135" s="13"/>
      <c r="J135" s="57"/>
      <c r="K135" s="105"/>
      <c r="L135" s="529"/>
      <c r="M135" s="95"/>
      <c r="N135" s="13"/>
      <c r="O135" s="57"/>
      <c r="P135" s="104"/>
      <c r="Q135" s="529"/>
      <c r="R135" s="95"/>
      <c r="S135" s="95"/>
      <c r="T135" s="57"/>
      <c r="U135" s="105"/>
      <c r="V135" s="529"/>
      <c r="W135" s="95"/>
      <c r="X135" s="13"/>
      <c r="Y135" s="57"/>
      <c r="Z135" s="105"/>
      <c r="AA135" s="529"/>
      <c r="AB135" s="208"/>
      <c r="AC135" s="13"/>
      <c r="AD135" s="57"/>
      <c r="AE135" s="105"/>
      <c r="AF135" s="529"/>
      <c r="AG135" s="198"/>
      <c r="AH135" s="199"/>
      <c r="AI135" s="200"/>
      <c r="AJ135" s="63"/>
      <c r="AK135" s="91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</row>
    <row r="136" spans="1:87" s="1" customFormat="1" ht="18" hidden="1" customHeight="1">
      <c r="A136" s="515"/>
      <c r="B136" s="543"/>
      <c r="C136" s="3"/>
      <c r="D136" s="4"/>
      <c r="E136" s="73"/>
      <c r="F136" s="52"/>
      <c r="G136" s="529"/>
      <c r="H136" s="95"/>
      <c r="I136" s="13"/>
      <c r="J136" s="57"/>
      <c r="K136" s="105"/>
      <c r="L136" s="529"/>
      <c r="M136" s="95"/>
      <c r="N136" s="13"/>
      <c r="O136" s="57"/>
      <c r="P136" s="104"/>
      <c r="Q136" s="529"/>
      <c r="R136" s="95"/>
      <c r="S136" s="95"/>
      <c r="T136" s="57"/>
      <c r="U136" s="105"/>
      <c r="V136" s="529"/>
      <c r="W136" s="95"/>
      <c r="X136" s="13"/>
      <c r="Y136" s="57"/>
      <c r="Z136" s="105"/>
      <c r="AA136" s="529"/>
      <c r="AB136" s="208"/>
      <c r="AC136" s="13"/>
      <c r="AD136" s="57"/>
      <c r="AE136" s="105"/>
      <c r="AF136" s="529"/>
      <c r="AG136" s="198"/>
      <c r="AH136" s="199"/>
      <c r="AI136" s="200"/>
      <c r="AJ136" s="63"/>
      <c r="AK136" s="91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</row>
    <row r="137" spans="1:87" s="1" customFormat="1" ht="18" hidden="1" customHeight="1">
      <c r="A137" s="515"/>
      <c r="B137" s="543"/>
      <c r="C137" s="3"/>
      <c r="D137" s="4"/>
      <c r="E137" s="73"/>
      <c r="F137" s="52"/>
      <c r="G137" s="529"/>
      <c r="H137" s="95"/>
      <c r="I137" s="13"/>
      <c r="J137" s="57"/>
      <c r="K137" s="105"/>
      <c r="L137" s="529"/>
      <c r="M137" s="95"/>
      <c r="N137" s="13"/>
      <c r="O137" s="57"/>
      <c r="P137" s="104"/>
      <c r="Q137" s="529"/>
      <c r="R137" s="95"/>
      <c r="S137" s="95"/>
      <c r="T137" s="57"/>
      <c r="U137" s="105"/>
      <c r="V137" s="529"/>
      <c r="W137" s="95"/>
      <c r="X137" s="13"/>
      <c r="Y137" s="57"/>
      <c r="Z137" s="105"/>
      <c r="AA137" s="529"/>
      <c r="AB137" s="208"/>
      <c r="AC137" s="13"/>
      <c r="AD137" s="57"/>
      <c r="AE137" s="105"/>
      <c r="AF137" s="529"/>
      <c r="AG137" s="198"/>
      <c r="AH137" s="199"/>
      <c r="AI137" s="200"/>
      <c r="AJ137" s="63"/>
      <c r="AK137" s="91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</row>
    <row r="138" spans="1:87" s="1" customFormat="1" ht="18" hidden="1" customHeight="1">
      <c r="A138" s="593"/>
      <c r="B138" s="544"/>
      <c r="C138" s="6"/>
      <c r="D138" s="5"/>
      <c r="E138" s="74"/>
      <c r="F138" s="53"/>
      <c r="G138" s="530"/>
      <c r="H138" s="95"/>
      <c r="I138" s="13"/>
      <c r="J138" s="57"/>
      <c r="K138" s="107"/>
      <c r="L138" s="530"/>
      <c r="M138" s="95"/>
      <c r="N138" s="13"/>
      <c r="O138" s="57"/>
      <c r="P138" s="106"/>
      <c r="Q138" s="530"/>
      <c r="R138" s="95"/>
      <c r="S138" s="95"/>
      <c r="T138" s="57"/>
      <c r="U138" s="107"/>
      <c r="V138" s="530"/>
      <c r="W138" s="95"/>
      <c r="X138" s="13"/>
      <c r="Y138" s="57"/>
      <c r="Z138" s="107"/>
      <c r="AA138" s="530"/>
      <c r="AB138" s="208"/>
      <c r="AC138" s="13"/>
      <c r="AD138" s="57"/>
      <c r="AE138" s="107"/>
      <c r="AF138" s="530"/>
      <c r="AG138" s="205"/>
      <c r="AH138" s="206"/>
      <c r="AI138" s="207"/>
      <c r="AJ138" s="65"/>
      <c r="AK138" s="91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</row>
    <row r="139" spans="1:87" s="1" customFormat="1" ht="18" hidden="1" customHeight="1">
      <c r="A139" s="592" t="s">
        <v>55</v>
      </c>
      <c r="B139" s="542"/>
      <c r="C139" s="70"/>
      <c r="D139" s="71"/>
      <c r="E139" s="72"/>
      <c r="F139" s="51"/>
      <c r="G139" s="528"/>
      <c r="H139" s="95"/>
      <c r="I139" s="13"/>
      <c r="J139" s="57"/>
      <c r="K139" s="108"/>
      <c r="L139" s="528"/>
      <c r="M139" s="95"/>
      <c r="N139" s="13"/>
      <c r="O139" s="57"/>
      <c r="P139" s="110"/>
      <c r="Q139" s="528"/>
      <c r="R139" s="95"/>
      <c r="S139" s="95"/>
      <c r="T139" s="57"/>
      <c r="U139" s="108"/>
      <c r="V139" s="528"/>
      <c r="W139" s="95"/>
      <c r="X139" s="13"/>
      <c r="Y139" s="57"/>
      <c r="Z139" s="108"/>
      <c r="AA139" s="528"/>
      <c r="AB139" s="208"/>
      <c r="AC139" s="13"/>
      <c r="AD139" s="57"/>
      <c r="AE139" s="108"/>
      <c r="AF139" s="528"/>
      <c r="AG139" s="191"/>
      <c r="AH139" s="192"/>
      <c r="AI139" s="193"/>
      <c r="AJ139" s="66"/>
      <c r="AK139" s="91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</row>
    <row r="140" spans="1:87" s="1" customFormat="1" ht="18" hidden="1" customHeight="1">
      <c r="A140" s="515"/>
      <c r="B140" s="543"/>
      <c r="C140" s="3"/>
      <c r="D140" s="4"/>
      <c r="E140" s="73"/>
      <c r="F140" s="52"/>
      <c r="G140" s="529"/>
      <c r="H140" s="95"/>
      <c r="I140" s="13"/>
      <c r="J140" s="57"/>
      <c r="K140" s="105"/>
      <c r="L140" s="529"/>
      <c r="M140" s="95"/>
      <c r="N140" s="13"/>
      <c r="O140" s="57"/>
      <c r="P140" s="104"/>
      <c r="Q140" s="529"/>
      <c r="R140" s="95"/>
      <c r="S140" s="95"/>
      <c r="T140" s="57"/>
      <c r="U140" s="105"/>
      <c r="V140" s="529"/>
      <c r="W140" s="95"/>
      <c r="X140" s="13"/>
      <c r="Y140" s="57"/>
      <c r="Z140" s="105"/>
      <c r="AA140" s="529"/>
      <c r="AB140" s="208"/>
      <c r="AC140" s="13"/>
      <c r="AD140" s="57"/>
      <c r="AE140" s="105"/>
      <c r="AF140" s="529"/>
      <c r="AG140" s="198"/>
      <c r="AH140" s="199"/>
      <c r="AI140" s="200"/>
      <c r="AJ140" s="63"/>
      <c r="AK140" s="91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</row>
    <row r="141" spans="1:87" s="1" customFormat="1" ht="18" hidden="1" customHeight="1">
      <c r="A141" s="515"/>
      <c r="B141" s="543"/>
      <c r="C141" s="3"/>
      <c r="D141" s="4"/>
      <c r="E141" s="73"/>
      <c r="F141" s="52"/>
      <c r="G141" s="529"/>
      <c r="H141" s="95"/>
      <c r="I141" s="13"/>
      <c r="J141" s="57"/>
      <c r="K141" s="105"/>
      <c r="L141" s="529"/>
      <c r="M141" s="95"/>
      <c r="N141" s="13"/>
      <c r="O141" s="57"/>
      <c r="P141" s="104"/>
      <c r="Q141" s="529"/>
      <c r="R141" s="95"/>
      <c r="S141" s="95"/>
      <c r="T141" s="57"/>
      <c r="U141" s="105"/>
      <c r="V141" s="529"/>
      <c r="W141" s="95"/>
      <c r="X141" s="13"/>
      <c r="Y141" s="57"/>
      <c r="Z141" s="105"/>
      <c r="AA141" s="529"/>
      <c r="AB141" s="208"/>
      <c r="AC141" s="13"/>
      <c r="AD141" s="57"/>
      <c r="AE141" s="105"/>
      <c r="AF141" s="529"/>
      <c r="AG141" s="198"/>
      <c r="AH141" s="199"/>
      <c r="AI141" s="200"/>
      <c r="AJ141" s="63"/>
      <c r="AK141" s="9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</row>
    <row r="142" spans="1:87" s="1" customFormat="1" ht="18" hidden="1" customHeight="1">
      <c r="A142" s="515"/>
      <c r="B142" s="543"/>
      <c r="C142" s="3"/>
      <c r="D142" s="4"/>
      <c r="E142" s="73"/>
      <c r="F142" s="52"/>
      <c r="G142" s="529"/>
      <c r="H142" s="95"/>
      <c r="I142" s="13"/>
      <c r="J142" s="57"/>
      <c r="K142" s="105"/>
      <c r="L142" s="529"/>
      <c r="M142" s="95"/>
      <c r="N142" s="13"/>
      <c r="O142" s="57"/>
      <c r="P142" s="104"/>
      <c r="Q142" s="529"/>
      <c r="R142" s="95"/>
      <c r="S142" s="95"/>
      <c r="T142" s="57"/>
      <c r="U142" s="105"/>
      <c r="V142" s="529"/>
      <c r="W142" s="95"/>
      <c r="X142" s="13"/>
      <c r="Y142" s="57"/>
      <c r="Z142" s="105"/>
      <c r="AA142" s="529"/>
      <c r="AB142" s="208"/>
      <c r="AC142" s="13"/>
      <c r="AD142" s="57"/>
      <c r="AE142" s="105"/>
      <c r="AF142" s="529"/>
      <c r="AG142" s="198"/>
      <c r="AH142" s="199"/>
      <c r="AI142" s="200"/>
      <c r="AJ142" s="63"/>
      <c r="AK142" s="91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</row>
    <row r="143" spans="1:87" s="1" customFormat="1" ht="18" hidden="1" customHeight="1">
      <c r="A143" s="515"/>
      <c r="B143" s="543"/>
      <c r="C143" s="3"/>
      <c r="D143" s="4"/>
      <c r="E143" s="73"/>
      <c r="F143" s="52"/>
      <c r="G143" s="529"/>
      <c r="H143" s="95"/>
      <c r="I143" s="13"/>
      <c r="J143" s="57"/>
      <c r="K143" s="105"/>
      <c r="L143" s="529"/>
      <c r="M143" s="95"/>
      <c r="N143" s="13"/>
      <c r="O143" s="57"/>
      <c r="P143" s="104"/>
      <c r="Q143" s="529"/>
      <c r="R143" s="95"/>
      <c r="S143" s="95"/>
      <c r="T143" s="57"/>
      <c r="U143" s="105"/>
      <c r="V143" s="529"/>
      <c r="W143" s="95"/>
      <c r="X143" s="13"/>
      <c r="Y143" s="57"/>
      <c r="Z143" s="105"/>
      <c r="AA143" s="529"/>
      <c r="AB143" s="208"/>
      <c r="AC143" s="13"/>
      <c r="AD143" s="57"/>
      <c r="AE143" s="105"/>
      <c r="AF143" s="529"/>
      <c r="AG143" s="198"/>
      <c r="AH143" s="199"/>
      <c r="AI143" s="200"/>
      <c r="AJ143" s="63"/>
      <c r="AK143" s="91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</row>
    <row r="144" spans="1:87" s="1" customFormat="1" ht="18" hidden="1" customHeight="1">
      <c r="A144" s="515"/>
      <c r="B144" s="543"/>
      <c r="C144" s="3"/>
      <c r="D144" s="4"/>
      <c r="E144" s="73"/>
      <c r="F144" s="52"/>
      <c r="G144" s="529"/>
      <c r="H144" s="95"/>
      <c r="I144" s="13"/>
      <c r="J144" s="57"/>
      <c r="K144" s="105"/>
      <c r="L144" s="529"/>
      <c r="M144" s="95"/>
      <c r="N144" s="13"/>
      <c r="O144" s="57"/>
      <c r="P144" s="104"/>
      <c r="Q144" s="529"/>
      <c r="R144" s="95"/>
      <c r="S144" s="95"/>
      <c r="T144" s="57"/>
      <c r="U144" s="105"/>
      <c r="V144" s="529"/>
      <c r="W144" s="95"/>
      <c r="X144" s="13"/>
      <c r="Y144" s="57"/>
      <c r="Z144" s="105"/>
      <c r="AA144" s="529"/>
      <c r="AB144" s="208"/>
      <c r="AC144" s="13"/>
      <c r="AD144" s="57"/>
      <c r="AE144" s="105"/>
      <c r="AF144" s="529"/>
      <c r="AG144" s="198"/>
      <c r="AH144" s="199"/>
      <c r="AI144" s="200"/>
      <c r="AJ144" s="63"/>
      <c r="AK144" s="91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</row>
    <row r="145" spans="1:87" s="1" customFormat="1" ht="18" hidden="1" customHeight="1">
      <c r="A145" s="515"/>
      <c r="B145" s="543"/>
      <c r="C145" s="3"/>
      <c r="D145" s="4"/>
      <c r="E145" s="73"/>
      <c r="F145" s="52"/>
      <c r="G145" s="529"/>
      <c r="H145" s="95"/>
      <c r="I145" s="13"/>
      <c r="J145" s="57"/>
      <c r="K145" s="105"/>
      <c r="L145" s="529"/>
      <c r="M145" s="95"/>
      <c r="N145" s="13"/>
      <c r="O145" s="57"/>
      <c r="P145" s="104"/>
      <c r="Q145" s="529"/>
      <c r="R145" s="95"/>
      <c r="S145" s="95"/>
      <c r="T145" s="57"/>
      <c r="U145" s="105"/>
      <c r="V145" s="529"/>
      <c r="W145" s="95"/>
      <c r="X145" s="13"/>
      <c r="Y145" s="57"/>
      <c r="Z145" s="105"/>
      <c r="AA145" s="529"/>
      <c r="AB145" s="208"/>
      <c r="AC145" s="13"/>
      <c r="AD145" s="57"/>
      <c r="AE145" s="105"/>
      <c r="AF145" s="529"/>
      <c r="AG145" s="198"/>
      <c r="AH145" s="199"/>
      <c r="AI145" s="200"/>
      <c r="AJ145" s="63"/>
      <c r="AK145" s="91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</row>
    <row r="146" spans="1:87" s="1" customFormat="1" ht="18" hidden="1" customHeight="1">
      <c r="A146" s="515"/>
      <c r="B146" s="543"/>
      <c r="C146" s="3"/>
      <c r="D146" s="4"/>
      <c r="E146" s="73"/>
      <c r="F146" s="52"/>
      <c r="G146" s="529"/>
      <c r="H146" s="95"/>
      <c r="I146" s="13"/>
      <c r="J146" s="57"/>
      <c r="K146" s="105"/>
      <c r="L146" s="529"/>
      <c r="M146" s="95"/>
      <c r="N146" s="13"/>
      <c r="O146" s="57"/>
      <c r="P146" s="104"/>
      <c r="Q146" s="529"/>
      <c r="R146" s="95"/>
      <c r="S146" s="95"/>
      <c r="T146" s="57"/>
      <c r="U146" s="105"/>
      <c r="V146" s="529"/>
      <c r="W146" s="95"/>
      <c r="X146" s="13"/>
      <c r="Y146" s="57"/>
      <c r="Z146" s="105"/>
      <c r="AA146" s="529"/>
      <c r="AB146" s="208"/>
      <c r="AC146" s="13"/>
      <c r="AD146" s="57"/>
      <c r="AE146" s="105"/>
      <c r="AF146" s="529"/>
      <c r="AG146" s="198"/>
      <c r="AH146" s="199"/>
      <c r="AI146" s="200"/>
      <c r="AJ146" s="63"/>
      <c r="AK146" s="91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</row>
    <row r="147" spans="1:87" s="1" customFormat="1" ht="18" hidden="1" customHeight="1">
      <c r="A147" s="515"/>
      <c r="B147" s="543"/>
      <c r="C147" s="3"/>
      <c r="D147" s="4"/>
      <c r="E147" s="73"/>
      <c r="F147" s="52"/>
      <c r="G147" s="529"/>
      <c r="H147" s="95"/>
      <c r="I147" s="13"/>
      <c r="J147" s="57"/>
      <c r="K147" s="105"/>
      <c r="L147" s="529"/>
      <c r="M147" s="95"/>
      <c r="N147" s="13"/>
      <c r="O147" s="57"/>
      <c r="P147" s="104"/>
      <c r="Q147" s="529"/>
      <c r="R147" s="95"/>
      <c r="S147" s="95"/>
      <c r="T147" s="57"/>
      <c r="U147" s="105"/>
      <c r="V147" s="529"/>
      <c r="W147" s="95"/>
      <c r="X147" s="13"/>
      <c r="Y147" s="57"/>
      <c r="Z147" s="105"/>
      <c r="AA147" s="529"/>
      <c r="AB147" s="208"/>
      <c r="AC147" s="13"/>
      <c r="AD147" s="57"/>
      <c r="AE147" s="105"/>
      <c r="AF147" s="529"/>
      <c r="AG147" s="198"/>
      <c r="AH147" s="199"/>
      <c r="AI147" s="200"/>
      <c r="AJ147" s="63"/>
      <c r="AK147" s="91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</row>
    <row r="148" spans="1:87" s="1" customFormat="1" ht="18" hidden="1" customHeight="1">
      <c r="A148" s="515"/>
      <c r="B148" s="543"/>
      <c r="C148" s="3"/>
      <c r="D148" s="4"/>
      <c r="E148" s="73"/>
      <c r="F148" s="52"/>
      <c r="G148" s="529"/>
      <c r="H148" s="95"/>
      <c r="I148" s="13"/>
      <c r="J148" s="57"/>
      <c r="K148" s="105"/>
      <c r="L148" s="529"/>
      <c r="M148" s="95"/>
      <c r="N148" s="13"/>
      <c r="O148" s="57"/>
      <c r="P148" s="104"/>
      <c r="Q148" s="529"/>
      <c r="R148" s="95"/>
      <c r="S148" s="95"/>
      <c r="T148" s="57"/>
      <c r="U148" s="105"/>
      <c r="V148" s="529"/>
      <c r="W148" s="95"/>
      <c r="X148" s="13"/>
      <c r="Y148" s="57"/>
      <c r="Z148" s="105"/>
      <c r="AA148" s="529"/>
      <c r="AB148" s="208"/>
      <c r="AC148" s="13"/>
      <c r="AD148" s="57"/>
      <c r="AE148" s="105"/>
      <c r="AF148" s="529"/>
      <c r="AG148" s="198"/>
      <c r="AH148" s="199"/>
      <c r="AI148" s="200"/>
      <c r="AJ148" s="63"/>
      <c r="AK148" s="91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</row>
    <row r="149" spans="1:87" s="1" customFormat="1" ht="18" hidden="1" customHeight="1">
      <c r="A149" s="515"/>
      <c r="B149" s="543"/>
      <c r="C149" s="3"/>
      <c r="D149" s="4"/>
      <c r="E149" s="73"/>
      <c r="F149" s="52"/>
      <c r="G149" s="529"/>
      <c r="H149" s="95"/>
      <c r="I149" s="13"/>
      <c r="J149" s="57"/>
      <c r="K149" s="105"/>
      <c r="L149" s="529"/>
      <c r="M149" s="95"/>
      <c r="N149" s="13"/>
      <c r="O149" s="57"/>
      <c r="P149" s="104"/>
      <c r="Q149" s="529"/>
      <c r="R149" s="95"/>
      <c r="S149" s="95"/>
      <c r="T149" s="57"/>
      <c r="U149" s="105"/>
      <c r="V149" s="529"/>
      <c r="W149" s="95"/>
      <c r="X149" s="13"/>
      <c r="Y149" s="57"/>
      <c r="Z149" s="105"/>
      <c r="AA149" s="529"/>
      <c r="AB149" s="208"/>
      <c r="AC149" s="13"/>
      <c r="AD149" s="57"/>
      <c r="AE149" s="105"/>
      <c r="AF149" s="529"/>
      <c r="AG149" s="198"/>
      <c r="AH149" s="199"/>
      <c r="AI149" s="200"/>
      <c r="AJ149" s="63"/>
      <c r="AK149" s="91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</row>
    <row r="150" spans="1:87" s="1" customFormat="1" ht="18" hidden="1" customHeight="1">
      <c r="A150" s="515"/>
      <c r="B150" s="543"/>
      <c r="C150" s="3"/>
      <c r="D150" s="4"/>
      <c r="E150" s="73"/>
      <c r="F150" s="52"/>
      <c r="G150" s="529"/>
      <c r="H150" s="95"/>
      <c r="I150" s="13"/>
      <c r="J150" s="57"/>
      <c r="K150" s="105"/>
      <c r="L150" s="529"/>
      <c r="M150" s="95"/>
      <c r="N150" s="13"/>
      <c r="O150" s="57"/>
      <c r="P150" s="104"/>
      <c r="Q150" s="529"/>
      <c r="R150" s="95"/>
      <c r="S150" s="95"/>
      <c r="T150" s="57"/>
      <c r="U150" s="105"/>
      <c r="V150" s="529"/>
      <c r="W150" s="95"/>
      <c r="X150" s="13"/>
      <c r="Y150" s="57"/>
      <c r="Z150" s="105"/>
      <c r="AA150" s="529"/>
      <c r="AB150" s="208"/>
      <c r="AC150" s="13"/>
      <c r="AD150" s="57"/>
      <c r="AE150" s="105"/>
      <c r="AF150" s="529"/>
      <c r="AG150" s="198"/>
      <c r="AH150" s="199"/>
      <c r="AI150" s="200"/>
      <c r="AJ150" s="63"/>
      <c r="AK150" s="91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</row>
    <row r="151" spans="1:87" s="1" customFormat="1" ht="18" hidden="1" customHeight="1">
      <c r="A151" s="515"/>
      <c r="B151" s="543"/>
      <c r="C151" s="3"/>
      <c r="D151" s="4"/>
      <c r="E151" s="73"/>
      <c r="F151" s="52"/>
      <c r="G151" s="529"/>
      <c r="H151" s="95"/>
      <c r="I151" s="13"/>
      <c r="J151" s="57"/>
      <c r="K151" s="105"/>
      <c r="L151" s="529"/>
      <c r="M151" s="95"/>
      <c r="N151" s="13"/>
      <c r="O151" s="57"/>
      <c r="P151" s="104"/>
      <c r="Q151" s="529"/>
      <c r="R151" s="95"/>
      <c r="S151" s="95"/>
      <c r="T151" s="57"/>
      <c r="U151" s="105"/>
      <c r="V151" s="529"/>
      <c r="W151" s="95"/>
      <c r="X151" s="13"/>
      <c r="Y151" s="57"/>
      <c r="Z151" s="105"/>
      <c r="AA151" s="529"/>
      <c r="AB151" s="208"/>
      <c r="AC151" s="13"/>
      <c r="AD151" s="57"/>
      <c r="AE151" s="105"/>
      <c r="AF151" s="529"/>
      <c r="AG151" s="198"/>
      <c r="AH151" s="199"/>
      <c r="AI151" s="200"/>
      <c r="AJ151" s="63"/>
      <c r="AK151" s="9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</row>
    <row r="152" spans="1:87" s="1" customFormat="1" ht="18" hidden="1" customHeight="1">
      <c r="A152" s="515"/>
      <c r="B152" s="543"/>
      <c r="C152" s="3"/>
      <c r="D152" s="4"/>
      <c r="E152" s="73"/>
      <c r="F152" s="52"/>
      <c r="G152" s="529"/>
      <c r="H152" s="95"/>
      <c r="I152" s="13"/>
      <c r="J152" s="57"/>
      <c r="K152" s="105"/>
      <c r="L152" s="529"/>
      <c r="M152" s="95"/>
      <c r="N152" s="13"/>
      <c r="O152" s="57"/>
      <c r="P152" s="104"/>
      <c r="Q152" s="529"/>
      <c r="R152" s="95"/>
      <c r="S152" s="95"/>
      <c r="T152" s="57"/>
      <c r="U152" s="105"/>
      <c r="V152" s="529"/>
      <c r="W152" s="95"/>
      <c r="X152" s="13"/>
      <c r="Y152" s="57"/>
      <c r="Z152" s="105"/>
      <c r="AA152" s="529"/>
      <c r="AB152" s="208"/>
      <c r="AC152" s="13"/>
      <c r="AD152" s="57"/>
      <c r="AE152" s="105"/>
      <c r="AF152" s="529"/>
      <c r="AG152" s="198"/>
      <c r="AH152" s="199"/>
      <c r="AI152" s="200"/>
      <c r="AJ152" s="63"/>
      <c r="AK152" s="91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</row>
    <row r="153" spans="1:87" s="1" customFormat="1" ht="18" hidden="1" customHeight="1">
      <c r="A153" s="593"/>
      <c r="B153" s="544"/>
      <c r="C153" s="6"/>
      <c r="D153" s="5"/>
      <c r="E153" s="74"/>
      <c r="F153" s="53"/>
      <c r="G153" s="530"/>
      <c r="H153" s="95"/>
      <c r="I153" s="13"/>
      <c r="J153" s="57"/>
      <c r="K153" s="107"/>
      <c r="L153" s="530"/>
      <c r="M153" s="95"/>
      <c r="N153" s="13"/>
      <c r="O153" s="57"/>
      <c r="P153" s="106"/>
      <c r="Q153" s="530"/>
      <c r="R153" s="95"/>
      <c r="S153" s="95"/>
      <c r="T153" s="57"/>
      <c r="U153" s="107"/>
      <c r="V153" s="530"/>
      <c r="W153" s="95"/>
      <c r="X153" s="13"/>
      <c r="Y153" s="57"/>
      <c r="Z153" s="107"/>
      <c r="AA153" s="530"/>
      <c r="AB153" s="208"/>
      <c r="AC153" s="13"/>
      <c r="AD153" s="57"/>
      <c r="AE153" s="107"/>
      <c r="AF153" s="530"/>
      <c r="AG153" s="205"/>
      <c r="AH153" s="206"/>
      <c r="AI153" s="207"/>
      <c r="AJ153" s="65"/>
      <c r="AK153" s="91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</row>
    <row r="154" spans="1:87" s="1" customFormat="1" ht="18" hidden="1" customHeight="1">
      <c r="A154" s="592" t="s">
        <v>56</v>
      </c>
      <c r="B154" s="542"/>
      <c r="C154" s="70"/>
      <c r="D154" s="71"/>
      <c r="E154" s="72"/>
      <c r="F154" s="51"/>
      <c r="G154" s="528"/>
      <c r="H154" s="95"/>
      <c r="I154" s="13"/>
      <c r="J154" s="57"/>
      <c r="K154" s="108"/>
      <c r="L154" s="528"/>
      <c r="M154" s="95"/>
      <c r="N154" s="13"/>
      <c r="O154" s="57"/>
      <c r="P154" s="110"/>
      <c r="Q154" s="528"/>
      <c r="R154" s="95"/>
      <c r="S154" s="95"/>
      <c r="T154" s="57"/>
      <c r="U154" s="108"/>
      <c r="V154" s="528"/>
      <c r="W154" s="95"/>
      <c r="X154" s="13"/>
      <c r="Y154" s="57"/>
      <c r="Z154" s="108"/>
      <c r="AA154" s="528"/>
      <c r="AB154" s="208"/>
      <c r="AC154" s="13"/>
      <c r="AD154" s="57"/>
      <c r="AE154" s="108"/>
      <c r="AF154" s="528"/>
      <c r="AG154" s="191"/>
      <c r="AH154" s="192"/>
      <c r="AI154" s="193"/>
      <c r="AJ154" s="66"/>
      <c r="AK154" s="91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</row>
    <row r="155" spans="1:87" s="1" customFormat="1" ht="18" hidden="1" customHeight="1">
      <c r="A155" s="515"/>
      <c r="B155" s="543"/>
      <c r="C155" s="3"/>
      <c r="D155" s="4"/>
      <c r="E155" s="73"/>
      <c r="F155" s="52"/>
      <c r="G155" s="529"/>
      <c r="H155" s="95"/>
      <c r="I155" s="13"/>
      <c r="J155" s="57"/>
      <c r="K155" s="105"/>
      <c r="L155" s="529"/>
      <c r="M155" s="95"/>
      <c r="N155" s="13"/>
      <c r="O155" s="57"/>
      <c r="P155" s="104"/>
      <c r="Q155" s="529"/>
      <c r="R155" s="95"/>
      <c r="S155" s="95"/>
      <c r="T155" s="57"/>
      <c r="U155" s="105"/>
      <c r="V155" s="529"/>
      <c r="W155" s="95"/>
      <c r="X155" s="13"/>
      <c r="Y155" s="57"/>
      <c r="Z155" s="105"/>
      <c r="AA155" s="529"/>
      <c r="AB155" s="208"/>
      <c r="AC155" s="13"/>
      <c r="AD155" s="57"/>
      <c r="AE155" s="105"/>
      <c r="AF155" s="529"/>
      <c r="AG155" s="198"/>
      <c r="AH155" s="199"/>
      <c r="AI155" s="200"/>
      <c r="AJ155" s="63"/>
      <c r="AK155" s="91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</row>
    <row r="156" spans="1:87" s="1" customFormat="1" ht="18" hidden="1" customHeight="1">
      <c r="A156" s="515"/>
      <c r="B156" s="543"/>
      <c r="C156" s="3"/>
      <c r="D156" s="4"/>
      <c r="E156" s="73"/>
      <c r="F156" s="52"/>
      <c r="G156" s="529"/>
      <c r="H156" s="95"/>
      <c r="I156" s="13"/>
      <c r="J156" s="57"/>
      <c r="K156" s="105"/>
      <c r="L156" s="529"/>
      <c r="M156" s="95"/>
      <c r="N156" s="13"/>
      <c r="O156" s="57"/>
      <c r="P156" s="104"/>
      <c r="Q156" s="529"/>
      <c r="R156" s="95"/>
      <c r="S156" s="95"/>
      <c r="T156" s="57"/>
      <c r="U156" s="105"/>
      <c r="V156" s="529"/>
      <c r="W156" s="95"/>
      <c r="X156" s="13"/>
      <c r="Y156" s="57"/>
      <c r="Z156" s="105"/>
      <c r="AA156" s="529"/>
      <c r="AB156" s="208"/>
      <c r="AC156" s="13"/>
      <c r="AD156" s="57"/>
      <c r="AE156" s="105"/>
      <c r="AF156" s="529"/>
      <c r="AG156" s="198"/>
      <c r="AH156" s="199"/>
      <c r="AI156" s="200"/>
      <c r="AJ156" s="63"/>
      <c r="AK156" s="91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</row>
    <row r="157" spans="1:87" s="1" customFormat="1" ht="18" hidden="1" customHeight="1">
      <c r="A157" s="515"/>
      <c r="B157" s="543"/>
      <c r="C157" s="3"/>
      <c r="D157" s="4"/>
      <c r="E157" s="73"/>
      <c r="F157" s="52"/>
      <c r="G157" s="529"/>
      <c r="H157" s="95"/>
      <c r="I157" s="13"/>
      <c r="J157" s="57"/>
      <c r="K157" s="105"/>
      <c r="L157" s="529"/>
      <c r="M157" s="95"/>
      <c r="N157" s="13"/>
      <c r="O157" s="57"/>
      <c r="P157" s="104"/>
      <c r="Q157" s="529"/>
      <c r="R157" s="95"/>
      <c r="S157" s="95"/>
      <c r="T157" s="57"/>
      <c r="U157" s="105"/>
      <c r="V157" s="529"/>
      <c r="W157" s="95"/>
      <c r="X157" s="13"/>
      <c r="Y157" s="57"/>
      <c r="Z157" s="105"/>
      <c r="AA157" s="529"/>
      <c r="AB157" s="208"/>
      <c r="AC157" s="13"/>
      <c r="AD157" s="57"/>
      <c r="AE157" s="105"/>
      <c r="AF157" s="529"/>
      <c r="AG157" s="198"/>
      <c r="AH157" s="199"/>
      <c r="AI157" s="200"/>
      <c r="AJ157" s="63"/>
      <c r="AK157" s="91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</row>
    <row r="158" spans="1:87" s="1" customFormat="1" ht="18" hidden="1" customHeight="1">
      <c r="A158" s="515"/>
      <c r="B158" s="543"/>
      <c r="C158" s="3"/>
      <c r="D158" s="4"/>
      <c r="E158" s="73"/>
      <c r="F158" s="52"/>
      <c r="G158" s="529"/>
      <c r="H158" s="95"/>
      <c r="I158" s="13"/>
      <c r="J158" s="57"/>
      <c r="K158" s="105"/>
      <c r="L158" s="529"/>
      <c r="M158" s="95"/>
      <c r="N158" s="13"/>
      <c r="O158" s="57"/>
      <c r="P158" s="104"/>
      <c r="Q158" s="529"/>
      <c r="R158" s="95"/>
      <c r="S158" s="95"/>
      <c r="T158" s="57"/>
      <c r="U158" s="105"/>
      <c r="V158" s="529"/>
      <c r="W158" s="95"/>
      <c r="X158" s="13"/>
      <c r="Y158" s="57"/>
      <c r="Z158" s="105"/>
      <c r="AA158" s="529"/>
      <c r="AB158" s="208"/>
      <c r="AC158" s="13"/>
      <c r="AD158" s="57"/>
      <c r="AE158" s="105"/>
      <c r="AF158" s="529"/>
      <c r="AG158" s="198"/>
      <c r="AH158" s="199"/>
      <c r="AI158" s="200"/>
      <c r="AJ158" s="63"/>
      <c r="AK158" s="91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</row>
    <row r="159" spans="1:87" s="1" customFormat="1" ht="18" hidden="1" customHeight="1">
      <c r="A159" s="515"/>
      <c r="B159" s="543"/>
      <c r="C159" s="3"/>
      <c r="D159" s="4"/>
      <c r="E159" s="73"/>
      <c r="F159" s="52"/>
      <c r="G159" s="529"/>
      <c r="H159" s="95"/>
      <c r="I159" s="13"/>
      <c r="J159" s="57"/>
      <c r="K159" s="105"/>
      <c r="L159" s="529"/>
      <c r="M159" s="95"/>
      <c r="N159" s="13"/>
      <c r="O159" s="57"/>
      <c r="P159" s="104"/>
      <c r="Q159" s="529"/>
      <c r="R159" s="95"/>
      <c r="S159" s="95"/>
      <c r="T159" s="57"/>
      <c r="U159" s="105"/>
      <c r="V159" s="529"/>
      <c r="W159" s="95"/>
      <c r="X159" s="13"/>
      <c r="Y159" s="57"/>
      <c r="Z159" s="105"/>
      <c r="AA159" s="529"/>
      <c r="AB159" s="208"/>
      <c r="AC159" s="13"/>
      <c r="AD159" s="57"/>
      <c r="AE159" s="105"/>
      <c r="AF159" s="529"/>
      <c r="AG159" s="198"/>
      <c r="AH159" s="199"/>
      <c r="AI159" s="200"/>
      <c r="AJ159" s="63"/>
      <c r="AK159" s="91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</row>
    <row r="160" spans="1:87" s="1" customFormat="1" ht="18" hidden="1" customHeight="1">
      <c r="A160" s="515"/>
      <c r="B160" s="543"/>
      <c r="C160" s="3"/>
      <c r="D160" s="4"/>
      <c r="E160" s="73"/>
      <c r="F160" s="52"/>
      <c r="G160" s="529"/>
      <c r="H160" s="95"/>
      <c r="I160" s="13"/>
      <c r="J160" s="57"/>
      <c r="K160" s="105"/>
      <c r="L160" s="529"/>
      <c r="M160" s="95"/>
      <c r="N160" s="13"/>
      <c r="O160" s="57"/>
      <c r="P160" s="104"/>
      <c r="Q160" s="529"/>
      <c r="R160" s="95"/>
      <c r="S160" s="95"/>
      <c r="T160" s="57"/>
      <c r="U160" s="105"/>
      <c r="V160" s="529"/>
      <c r="W160" s="95"/>
      <c r="X160" s="13"/>
      <c r="Y160" s="57"/>
      <c r="Z160" s="105"/>
      <c r="AA160" s="529"/>
      <c r="AB160" s="208"/>
      <c r="AC160" s="13"/>
      <c r="AD160" s="57"/>
      <c r="AE160" s="105"/>
      <c r="AF160" s="529"/>
      <c r="AG160" s="198"/>
      <c r="AH160" s="199"/>
      <c r="AI160" s="200"/>
      <c r="AJ160" s="63"/>
      <c r="AK160" s="91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</row>
    <row r="161" spans="1:87" s="1" customFormat="1" ht="18" hidden="1" customHeight="1">
      <c r="A161" s="515"/>
      <c r="B161" s="543"/>
      <c r="C161" s="3"/>
      <c r="D161" s="4"/>
      <c r="E161" s="73"/>
      <c r="F161" s="52"/>
      <c r="G161" s="529"/>
      <c r="H161" s="95"/>
      <c r="I161" s="13"/>
      <c r="J161" s="57"/>
      <c r="K161" s="105"/>
      <c r="L161" s="529"/>
      <c r="M161" s="95"/>
      <c r="N161" s="13"/>
      <c r="O161" s="57"/>
      <c r="P161" s="104"/>
      <c r="Q161" s="529"/>
      <c r="R161" s="95"/>
      <c r="S161" s="95"/>
      <c r="T161" s="57"/>
      <c r="U161" s="105"/>
      <c r="V161" s="529"/>
      <c r="W161" s="95"/>
      <c r="X161" s="13"/>
      <c r="Y161" s="57"/>
      <c r="Z161" s="105"/>
      <c r="AA161" s="529"/>
      <c r="AB161" s="208"/>
      <c r="AC161" s="13"/>
      <c r="AD161" s="57"/>
      <c r="AE161" s="105"/>
      <c r="AF161" s="529"/>
      <c r="AG161" s="198"/>
      <c r="AH161" s="199"/>
      <c r="AI161" s="200"/>
      <c r="AJ161" s="63"/>
      <c r="AK161" s="9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</row>
    <row r="162" spans="1:87" s="1" customFormat="1" ht="18" hidden="1" customHeight="1">
      <c r="A162" s="515"/>
      <c r="B162" s="543"/>
      <c r="C162" s="3"/>
      <c r="D162" s="4"/>
      <c r="E162" s="73"/>
      <c r="F162" s="52"/>
      <c r="G162" s="529"/>
      <c r="H162" s="95"/>
      <c r="I162" s="13"/>
      <c r="J162" s="57"/>
      <c r="K162" s="105"/>
      <c r="L162" s="529"/>
      <c r="M162" s="95"/>
      <c r="N162" s="13"/>
      <c r="O162" s="57"/>
      <c r="P162" s="104"/>
      <c r="Q162" s="529"/>
      <c r="R162" s="95"/>
      <c r="S162" s="95"/>
      <c r="T162" s="57"/>
      <c r="U162" s="105"/>
      <c r="V162" s="529"/>
      <c r="W162" s="95"/>
      <c r="X162" s="13"/>
      <c r="Y162" s="57"/>
      <c r="Z162" s="105"/>
      <c r="AA162" s="529"/>
      <c r="AB162" s="208"/>
      <c r="AC162" s="13"/>
      <c r="AD162" s="57"/>
      <c r="AE162" s="105"/>
      <c r="AF162" s="529"/>
      <c r="AG162" s="198"/>
      <c r="AH162" s="199"/>
      <c r="AI162" s="200"/>
      <c r="AJ162" s="63"/>
      <c r="AK162" s="91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</row>
    <row r="163" spans="1:87" s="1" customFormat="1" ht="18" hidden="1" customHeight="1">
      <c r="A163" s="515"/>
      <c r="B163" s="543"/>
      <c r="C163" s="3"/>
      <c r="D163" s="4"/>
      <c r="E163" s="73"/>
      <c r="F163" s="52"/>
      <c r="G163" s="529"/>
      <c r="H163" s="95"/>
      <c r="I163" s="13"/>
      <c r="J163" s="57"/>
      <c r="K163" s="105"/>
      <c r="L163" s="529"/>
      <c r="M163" s="95"/>
      <c r="N163" s="13"/>
      <c r="O163" s="57"/>
      <c r="P163" s="104"/>
      <c r="Q163" s="529"/>
      <c r="R163" s="95"/>
      <c r="S163" s="95"/>
      <c r="T163" s="57"/>
      <c r="U163" s="105"/>
      <c r="V163" s="529"/>
      <c r="W163" s="95"/>
      <c r="X163" s="13"/>
      <c r="Y163" s="57"/>
      <c r="Z163" s="105"/>
      <c r="AA163" s="529"/>
      <c r="AB163" s="208"/>
      <c r="AC163" s="13"/>
      <c r="AD163" s="57"/>
      <c r="AE163" s="105"/>
      <c r="AF163" s="529"/>
      <c r="AG163" s="198"/>
      <c r="AH163" s="199"/>
      <c r="AI163" s="200"/>
      <c r="AJ163" s="63"/>
      <c r="AK163" s="91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</row>
    <row r="164" spans="1:87" s="1" customFormat="1" ht="18" hidden="1" customHeight="1">
      <c r="A164" s="515"/>
      <c r="B164" s="543"/>
      <c r="C164" s="3"/>
      <c r="D164" s="4"/>
      <c r="E164" s="73"/>
      <c r="F164" s="52"/>
      <c r="G164" s="529"/>
      <c r="H164" s="95"/>
      <c r="I164" s="13"/>
      <c r="J164" s="57"/>
      <c r="K164" s="105"/>
      <c r="L164" s="529"/>
      <c r="M164" s="95"/>
      <c r="N164" s="13"/>
      <c r="O164" s="57"/>
      <c r="P164" s="104"/>
      <c r="Q164" s="529"/>
      <c r="R164" s="95"/>
      <c r="S164" s="95"/>
      <c r="T164" s="57"/>
      <c r="U164" s="105"/>
      <c r="V164" s="529"/>
      <c r="W164" s="95"/>
      <c r="X164" s="13"/>
      <c r="Y164" s="57"/>
      <c r="Z164" s="105"/>
      <c r="AA164" s="529"/>
      <c r="AB164" s="208"/>
      <c r="AC164" s="13"/>
      <c r="AD164" s="57"/>
      <c r="AE164" s="105"/>
      <c r="AF164" s="529"/>
      <c r="AG164" s="198"/>
      <c r="AH164" s="199"/>
      <c r="AI164" s="200"/>
      <c r="AJ164" s="63"/>
      <c r="AK164" s="91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</row>
    <row r="165" spans="1:87" s="1" customFormat="1" ht="18" hidden="1" customHeight="1">
      <c r="A165" s="515"/>
      <c r="B165" s="543"/>
      <c r="C165" s="3"/>
      <c r="D165" s="4"/>
      <c r="E165" s="73"/>
      <c r="F165" s="52"/>
      <c r="G165" s="529"/>
      <c r="H165" s="95"/>
      <c r="I165" s="13"/>
      <c r="J165" s="57"/>
      <c r="K165" s="105"/>
      <c r="L165" s="529"/>
      <c r="M165" s="95"/>
      <c r="N165" s="13"/>
      <c r="O165" s="57"/>
      <c r="P165" s="104"/>
      <c r="Q165" s="529"/>
      <c r="R165" s="95"/>
      <c r="S165" s="95"/>
      <c r="T165" s="57"/>
      <c r="U165" s="105"/>
      <c r="V165" s="529"/>
      <c r="W165" s="95"/>
      <c r="X165" s="13"/>
      <c r="Y165" s="57"/>
      <c r="Z165" s="105"/>
      <c r="AA165" s="529"/>
      <c r="AB165" s="208"/>
      <c r="AC165" s="13"/>
      <c r="AD165" s="57"/>
      <c r="AE165" s="105"/>
      <c r="AF165" s="529"/>
      <c r="AG165" s="198"/>
      <c r="AH165" s="199"/>
      <c r="AI165" s="200"/>
      <c r="AJ165" s="63"/>
      <c r="AK165" s="91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</row>
    <row r="166" spans="1:87" s="1" customFormat="1" ht="18" hidden="1" customHeight="1">
      <c r="A166" s="515"/>
      <c r="B166" s="543"/>
      <c r="C166" s="3"/>
      <c r="D166" s="4"/>
      <c r="E166" s="73"/>
      <c r="F166" s="52"/>
      <c r="G166" s="529"/>
      <c r="H166" s="95"/>
      <c r="I166" s="13"/>
      <c r="J166" s="57"/>
      <c r="K166" s="105"/>
      <c r="L166" s="529"/>
      <c r="M166" s="95"/>
      <c r="N166" s="13"/>
      <c r="O166" s="57"/>
      <c r="P166" s="104"/>
      <c r="Q166" s="529"/>
      <c r="R166" s="95"/>
      <c r="S166" s="95"/>
      <c r="T166" s="57"/>
      <c r="U166" s="105"/>
      <c r="V166" s="529"/>
      <c r="W166" s="95"/>
      <c r="X166" s="13"/>
      <c r="Y166" s="57"/>
      <c r="Z166" s="105"/>
      <c r="AA166" s="529"/>
      <c r="AB166" s="208"/>
      <c r="AC166" s="13"/>
      <c r="AD166" s="57"/>
      <c r="AE166" s="105"/>
      <c r="AF166" s="529"/>
      <c r="AG166" s="198"/>
      <c r="AH166" s="199"/>
      <c r="AI166" s="200"/>
      <c r="AJ166" s="63"/>
      <c r="AK166" s="91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</row>
    <row r="167" spans="1:87" s="1" customFormat="1" ht="18" hidden="1" customHeight="1">
      <c r="A167" s="515"/>
      <c r="B167" s="543"/>
      <c r="C167" s="3"/>
      <c r="D167" s="4"/>
      <c r="E167" s="73"/>
      <c r="F167" s="52"/>
      <c r="G167" s="529"/>
      <c r="H167" s="95"/>
      <c r="I167" s="13"/>
      <c r="J167" s="57"/>
      <c r="K167" s="105"/>
      <c r="L167" s="529"/>
      <c r="M167" s="95"/>
      <c r="N167" s="13"/>
      <c r="O167" s="57"/>
      <c r="P167" s="104"/>
      <c r="Q167" s="529"/>
      <c r="R167" s="95"/>
      <c r="S167" s="95"/>
      <c r="T167" s="57"/>
      <c r="U167" s="105"/>
      <c r="V167" s="529"/>
      <c r="W167" s="95"/>
      <c r="X167" s="13"/>
      <c r="Y167" s="57"/>
      <c r="Z167" s="105"/>
      <c r="AA167" s="529"/>
      <c r="AB167" s="208"/>
      <c r="AC167" s="13"/>
      <c r="AD167" s="57"/>
      <c r="AE167" s="105"/>
      <c r="AF167" s="529"/>
      <c r="AG167" s="198"/>
      <c r="AH167" s="199"/>
      <c r="AI167" s="200"/>
      <c r="AJ167" s="63"/>
      <c r="AK167" s="91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</row>
    <row r="168" spans="1:87" s="1" customFormat="1" ht="18" hidden="1" customHeight="1">
      <c r="A168" s="593"/>
      <c r="B168" s="544"/>
      <c r="C168" s="6"/>
      <c r="D168" s="5"/>
      <c r="E168" s="74"/>
      <c r="F168" s="53"/>
      <c r="G168" s="530"/>
      <c r="H168" s="95"/>
      <c r="I168" s="13"/>
      <c r="J168" s="57"/>
      <c r="K168" s="107"/>
      <c r="L168" s="530"/>
      <c r="M168" s="95"/>
      <c r="N168" s="13"/>
      <c r="O168" s="57"/>
      <c r="P168" s="106"/>
      <c r="Q168" s="530"/>
      <c r="R168" s="95"/>
      <c r="S168" s="95"/>
      <c r="T168" s="57"/>
      <c r="U168" s="107"/>
      <c r="V168" s="530"/>
      <c r="W168" s="95"/>
      <c r="X168" s="13"/>
      <c r="Y168" s="57"/>
      <c r="Z168" s="107"/>
      <c r="AA168" s="530"/>
      <c r="AB168" s="208"/>
      <c r="AC168" s="13"/>
      <c r="AD168" s="57"/>
      <c r="AE168" s="107"/>
      <c r="AF168" s="530"/>
      <c r="AG168" s="205"/>
      <c r="AH168" s="206"/>
      <c r="AI168" s="207"/>
      <c r="AJ168" s="65"/>
      <c r="AK168" s="91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</row>
    <row r="169" spans="1:87" s="1" customFormat="1" ht="18" hidden="1" customHeight="1">
      <c r="A169" s="592" t="s">
        <v>57</v>
      </c>
      <c r="B169" s="542"/>
      <c r="C169" s="70"/>
      <c r="D169" s="71"/>
      <c r="E169" s="72"/>
      <c r="F169" s="51"/>
      <c r="G169" s="528"/>
      <c r="H169" s="95"/>
      <c r="I169" s="13"/>
      <c r="J169" s="57"/>
      <c r="K169" s="108"/>
      <c r="L169" s="528"/>
      <c r="M169" s="95"/>
      <c r="N169" s="13"/>
      <c r="O169" s="57"/>
      <c r="P169" s="110"/>
      <c r="Q169" s="528"/>
      <c r="R169" s="95"/>
      <c r="S169" s="95"/>
      <c r="T169" s="57"/>
      <c r="U169" s="108"/>
      <c r="V169" s="528"/>
      <c r="W169" s="95"/>
      <c r="X169" s="13"/>
      <c r="Y169" s="57"/>
      <c r="Z169" s="108"/>
      <c r="AA169" s="528"/>
      <c r="AB169" s="208"/>
      <c r="AC169" s="13"/>
      <c r="AD169" s="57"/>
      <c r="AE169" s="108"/>
      <c r="AF169" s="528"/>
      <c r="AG169" s="191"/>
      <c r="AH169" s="192"/>
      <c r="AI169" s="193"/>
      <c r="AJ169" s="66"/>
      <c r="AK169" s="91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</row>
    <row r="170" spans="1:87" s="1" customFormat="1" ht="18" hidden="1" customHeight="1">
      <c r="A170" s="515"/>
      <c r="B170" s="543"/>
      <c r="C170" s="3"/>
      <c r="D170" s="4"/>
      <c r="E170" s="73"/>
      <c r="F170" s="52"/>
      <c r="G170" s="529"/>
      <c r="H170" s="95"/>
      <c r="I170" s="13"/>
      <c r="J170" s="57"/>
      <c r="K170" s="105"/>
      <c r="L170" s="529"/>
      <c r="M170" s="95"/>
      <c r="N170" s="13"/>
      <c r="O170" s="57"/>
      <c r="P170" s="104"/>
      <c r="Q170" s="529"/>
      <c r="R170" s="95"/>
      <c r="S170" s="95"/>
      <c r="T170" s="57"/>
      <c r="U170" s="105"/>
      <c r="V170" s="529"/>
      <c r="W170" s="95"/>
      <c r="X170" s="13"/>
      <c r="Y170" s="57"/>
      <c r="Z170" s="105"/>
      <c r="AA170" s="529"/>
      <c r="AB170" s="208"/>
      <c r="AC170" s="13"/>
      <c r="AD170" s="57"/>
      <c r="AE170" s="105"/>
      <c r="AF170" s="529"/>
      <c r="AG170" s="198"/>
      <c r="AH170" s="199"/>
      <c r="AI170" s="200"/>
      <c r="AJ170" s="63"/>
      <c r="AK170" s="91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</row>
    <row r="171" spans="1:87" s="1" customFormat="1" ht="18" hidden="1" customHeight="1">
      <c r="A171" s="515"/>
      <c r="B171" s="543"/>
      <c r="C171" s="3"/>
      <c r="D171" s="4"/>
      <c r="E171" s="73"/>
      <c r="F171" s="52"/>
      <c r="G171" s="529"/>
      <c r="H171" s="95"/>
      <c r="I171" s="13"/>
      <c r="J171" s="57"/>
      <c r="K171" s="105"/>
      <c r="L171" s="529"/>
      <c r="M171" s="95"/>
      <c r="N171" s="13"/>
      <c r="O171" s="57"/>
      <c r="P171" s="104"/>
      <c r="Q171" s="529"/>
      <c r="R171" s="95"/>
      <c r="S171" s="95"/>
      <c r="T171" s="57"/>
      <c r="U171" s="105"/>
      <c r="V171" s="529"/>
      <c r="W171" s="95"/>
      <c r="X171" s="13"/>
      <c r="Y171" s="57"/>
      <c r="Z171" s="105"/>
      <c r="AA171" s="529"/>
      <c r="AB171" s="208"/>
      <c r="AC171" s="13"/>
      <c r="AD171" s="57"/>
      <c r="AE171" s="105"/>
      <c r="AF171" s="529"/>
      <c r="AG171" s="198"/>
      <c r="AH171" s="199"/>
      <c r="AI171" s="200"/>
      <c r="AJ171" s="63"/>
      <c r="AK171" s="9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</row>
    <row r="172" spans="1:87" s="1" customFormat="1" ht="18" hidden="1" customHeight="1">
      <c r="A172" s="515"/>
      <c r="B172" s="543"/>
      <c r="C172" s="3"/>
      <c r="D172" s="4"/>
      <c r="E172" s="73"/>
      <c r="F172" s="52"/>
      <c r="G172" s="529"/>
      <c r="H172" s="95"/>
      <c r="I172" s="13"/>
      <c r="J172" s="57"/>
      <c r="K172" s="105"/>
      <c r="L172" s="529"/>
      <c r="M172" s="95"/>
      <c r="N172" s="13"/>
      <c r="O172" s="57"/>
      <c r="P172" s="104"/>
      <c r="Q172" s="529"/>
      <c r="R172" s="95"/>
      <c r="S172" s="95"/>
      <c r="T172" s="57"/>
      <c r="U172" s="105"/>
      <c r="V172" s="529"/>
      <c r="W172" s="95"/>
      <c r="X172" s="13"/>
      <c r="Y172" s="57"/>
      <c r="Z172" s="105"/>
      <c r="AA172" s="529"/>
      <c r="AB172" s="208"/>
      <c r="AC172" s="13"/>
      <c r="AD172" s="57"/>
      <c r="AE172" s="105"/>
      <c r="AF172" s="529"/>
      <c r="AG172" s="198"/>
      <c r="AH172" s="199"/>
      <c r="AI172" s="200"/>
      <c r="AJ172" s="63"/>
      <c r="AK172" s="91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</row>
    <row r="173" spans="1:87" s="1" customFormat="1" ht="18" hidden="1" customHeight="1">
      <c r="A173" s="515"/>
      <c r="B173" s="543"/>
      <c r="C173" s="3"/>
      <c r="D173" s="4"/>
      <c r="E173" s="73"/>
      <c r="F173" s="52"/>
      <c r="G173" s="529"/>
      <c r="H173" s="95"/>
      <c r="I173" s="13"/>
      <c r="J173" s="57"/>
      <c r="K173" s="105"/>
      <c r="L173" s="529"/>
      <c r="M173" s="95"/>
      <c r="N173" s="13"/>
      <c r="O173" s="57"/>
      <c r="P173" s="104"/>
      <c r="Q173" s="529"/>
      <c r="R173" s="95"/>
      <c r="S173" s="95"/>
      <c r="T173" s="57"/>
      <c r="U173" s="105"/>
      <c r="V173" s="529"/>
      <c r="W173" s="95"/>
      <c r="X173" s="13"/>
      <c r="Y173" s="57"/>
      <c r="Z173" s="105"/>
      <c r="AA173" s="529"/>
      <c r="AB173" s="208"/>
      <c r="AC173" s="13"/>
      <c r="AD173" s="57"/>
      <c r="AE173" s="105"/>
      <c r="AF173" s="529"/>
      <c r="AG173" s="198"/>
      <c r="AH173" s="199"/>
      <c r="AI173" s="200"/>
      <c r="AJ173" s="63"/>
      <c r="AK173" s="91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</row>
    <row r="174" spans="1:87" s="1" customFormat="1" ht="18" hidden="1" customHeight="1">
      <c r="A174" s="515"/>
      <c r="B174" s="543"/>
      <c r="C174" s="3"/>
      <c r="D174" s="4"/>
      <c r="E174" s="73"/>
      <c r="F174" s="52"/>
      <c r="G174" s="529"/>
      <c r="H174" s="95"/>
      <c r="I174" s="13"/>
      <c r="J174" s="57"/>
      <c r="K174" s="105"/>
      <c r="L174" s="529"/>
      <c r="M174" s="95"/>
      <c r="N174" s="13"/>
      <c r="O174" s="57"/>
      <c r="P174" s="104"/>
      <c r="Q174" s="529"/>
      <c r="R174" s="95"/>
      <c r="S174" s="95"/>
      <c r="T174" s="57"/>
      <c r="U174" s="105"/>
      <c r="V174" s="529"/>
      <c r="W174" s="95"/>
      <c r="X174" s="13"/>
      <c r="Y174" s="57"/>
      <c r="Z174" s="105"/>
      <c r="AA174" s="529"/>
      <c r="AB174" s="208"/>
      <c r="AC174" s="13"/>
      <c r="AD174" s="57"/>
      <c r="AE174" s="105"/>
      <c r="AF174" s="529"/>
      <c r="AG174" s="198"/>
      <c r="AH174" s="199"/>
      <c r="AI174" s="200"/>
      <c r="AJ174" s="63"/>
      <c r="AK174" s="91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</row>
    <row r="175" spans="1:87" s="1" customFormat="1" ht="18" hidden="1" customHeight="1">
      <c r="A175" s="515"/>
      <c r="B175" s="543"/>
      <c r="C175" s="3"/>
      <c r="D175" s="4"/>
      <c r="E175" s="73"/>
      <c r="F175" s="52"/>
      <c r="G175" s="529"/>
      <c r="H175" s="95"/>
      <c r="I175" s="13"/>
      <c r="J175" s="57"/>
      <c r="K175" s="105"/>
      <c r="L175" s="529"/>
      <c r="M175" s="95"/>
      <c r="N175" s="13"/>
      <c r="O175" s="57"/>
      <c r="P175" s="104"/>
      <c r="Q175" s="529"/>
      <c r="R175" s="95"/>
      <c r="S175" s="95"/>
      <c r="T175" s="57"/>
      <c r="U175" s="105"/>
      <c r="V175" s="529"/>
      <c r="W175" s="95"/>
      <c r="X175" s="13"/>
      <c r="Y175" s="57"/>
      <c r="Z175" s="105"/>
      <c r="AA175" s="529"/>
      <c r="AB175" s="208"/>
      <c r="AC175" s="13"/>
      <c r="AD175" s="57"/>
      <c r="AE175" s="105"/>
      <c r="AF175" s="529"/>
      <c r="AG175" s="198"/>
      <c r="AH175" s="199"/>
      <c r="AI175" s="200"/>
      <c r="AJ175" s="63"/>
      <c r="AK175" s="91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</row>
    <row r="176" spans="1:87" s="1" customFormat="1" ht="18" hidden="1" customHeight="1">
      <c r="A176" s="515"/>
      <c r="B176" s="543"/>
      <c r="C176" s="3"/>
      <c r="D176" s="4"/>
      <c r="E176" s="73"/>
      <c r="F176" s="52"/>
      <c r="G176" s="529"/>
      <c r="H176" s="95"/>
      <c r="I176" s="13"/>
      <c r="J176" s="57"/>
      <c r="K176" s="105"/>
      <c r="L176" s="529"/>
      <c r="M176" s="95"/>
      <c r="N176" s="13"/>
      <c r="O176" s="57"/>
      <c r="P176" s="104"/>
      <c r="Q176" s="529"/>
      <c r="R176" s="95"/>
      <c r="S176" s="95"/>
      <c r="T176" s="57"/>
      <c r="U176" s="105"/>
      <c r="V176" s="529"/>
      <c r="W176" s="95"/>
      <c r="X176" s="13"/>
      <c r="Y176" s="57"/>
      <c r="Z176" s="105"/>
      <c r="AA176" s="529"/>
      <c r="AB176" s="208"/>
      <c r="AC176" s="13"/>
      <c r="AD176" s="57"/>
      <c r="AE176" s="105"/>
      <c r="AF176" s="529"/>
      <c r="AG176" s="198"/>
      <c r="AH176" s="199"/>
      <c r="AI176" s="200"/>
      <c r="AJ176" s="63"/>
      <c r="AK176" s="91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</row>
    <row r="177" spans="1:87" s="1" customFormat="1" ht="18" hidden="1" customHeight="1">
      <c r="A177" s="515"/>
      <c r="B177" s="543"/>
      <c r="C177" s="3"/>
      <c r="D177" s="4"/>
      <c r="E177" s="73"/>
      <c r="F177" s="52"/>
      <c r="G177" s="529"/>
      <c r="H177" s="95"/>
      <c r="I177" s="13"/>
      <c r="J177" s="57"/>
      <c r="K177" s="105"/>
      <c r="L177" s="529"/>
      <c r="M177" s="95"/>
      <c r="N177" s="13"/>
      <c r="O177" s="57"/>
      <c r="P177" s="104"/>
      <c r="Q177" s="529"/>
      <c r="R177" s="95"/>
      <c r="S177" s="95"/>
      <c r="T177" s="57"/>
      <c r="U177" s="105"/>
      <c r="V177" s="529"/>
      <c r="W177" s="95"/>
      <c r="X177" s="13"/>
      <c r="Y177" s="57"/>
      <c r="Z177" s="105"/>
      <c r="AA177" s="529"/>
      <c r="AB177" s="208"/>
      <c r="AC177" s="13"/>
      <c r="AD177" s="57"/>
      <c r="AE177" s="105"/>
      <c r="AF177" s="529"/>
      <c r="AG177" s="198"/>
      <c r="AH177" s="199"/>
      <c r="AI177" s="200"/>
      <c r="AJ177" s="63"/>
      <c r="AK177" s="91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</row>
    <row r="178" spans="1:87" s="1" customFormat="1" ht="18" hidden="1" customHeight="1">
      <c r="A178" s="515"/>
      <c r="B178" s="543"/>
      <c r="C178" s="3"/>
      <c r="D178" s="4"/>
      <c r="E178" s="73"/>
      <c r="F178" s="52"/>
      <c r="G178" s="529"/>
      <c r="H178" s="95"/>
      <c r="I178" s="13"/>
      <c r="J178" s="57"/>
      <c r="K178" s="105"/>
      <c r="L178" s="529"/>
      <c r="M178" s="95"/>
      <c r="N178" s="13"/>
      <c r="O178" s="57"/>
      <c r="P178" s="104"/>
      <c r="Q178" s="529"/>
      <c r="R178" s="95"/>
      <c r="S178" s="95"/>
      <c r="T178" s="57"/>
      <c r="U178" s="105"/>
      <c r="V178" s="529"/>
      <c r="W178" s="95"/>
      <c r="X178" s="13"/>
      <c r="Y178" s="57"/>
      <c r="Z178" s="105"/>
      <c r="AA178" s="529"/>
      <c r="AB178" s="208"/>
      <c r="AC178" s="13"/>
      <c r="AD178" s="57"/>
      <c r="AE178" s="105"/>
      <c r="AF178" s="529"/>
      <c r="AG178" s="198"/>
      <c r="AH178" s="199"/>
      <c r="AI178" s="200"/>
      <c r="AJ178" s="63"/>
      <c r="AK178" s="91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</row>
    <row r="179" spans="1:87" s="1" customFormat="1" ht="18" hidden="1" customHeight="1">
      <c r="A179" s="515"/>
      <c r="B179" s="543"/>
      <c r="C179" s="3"/>
      <c r="D179" s="4"/>
      <c r="E179" s="73"/>
      <c r="F179" s="52"/>
      <c r="G179" s="529"/>
      <c r="H179" s="95"/>
      <c r="I179" s="13"/>
      <c r="J179" s="57"/>
      <c r="K179" s="105"/>
      <c r="L179" s="529"/>
      <c r="M179" s="95"/>
      <c r="N179" s="13"/>
      <c r="O179" s="57"/>
      <c r="P179" s="104"/>
      <c r="Q179" s="529"/>
      <c r="R179" s="95"/>
      <c r="S179" s="95"/>
      <c r="T179" s="57"/>
      <c r="U179" s="105"/>
      <c r="V179" s="529"/>
      <c r="W179" s="95"/>
      <c r="X179" s="13"/>
      <c r="Y179" s="57"/>
      <c r="Z179" s="105"/>
      <c r="AA179" s="529"/>
      <c r="AB179" s="208"/>
      <c r="AC179" s="13"/>
      <c r="AD179" s="57"/>
      <c r="AE179" s="105"/>
      <c r="AF179" s="529"/>
      <c r="AG179" s="198"/>
      <c r="AH179" s="199"/>
      <c r="AI179" s="200"/>
      <c r="AJ179" s="63"/>
      <c r="AK179" s="91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</row>
    <row r="180" spans="1:87" s="1" customFormat="1" ht="18" hidden="1" customHeight="1">
      <c r="A180" s="515"/>
      <c r="B180" s="543"/>
      <c r="C180" s="3"/>
      <c r="D180" s="4"/>
      <c r="E180" s="73"/>
      <c r="F180" s="52"/>
      <c r="G180" s="529"/>
      <c r="H180" s="95"/>
      <c r="I180" s="13"/>
      <c r="J180" s="57"/>
      <c r="K180" s="105"/>
      <c r="L180" s="529"/>
      <c r="M180" s="95"/>
      <c r="N180" s="13"/>
      <c r="O180" s="57"/>
      <c r="P180" s="104"/>
      <c r="Q180" s="529"/>
      <c r="R180" s="95"/>
      <c r="S180" s="95"/>
      <c r="T180" s="57"/>
      <c r="U180" s="105"/>
      <c r="V180" s="529"/>
      <c r="W180" s="95"/>
      <c r="X180" s="13"/>
      <c r="Y180" s="57"/>
      <c r="Z180" s="105"/>
      <c r="AA180" s="529"/>
      <c r="AB180" s="208"/>
      <c r="AC180" s="13"/>
      <c r="AD180" s="57"/>
      <c r="AE180" s="105"/>
      <c r="AF180" s="529"/>
      <c r="AG180" s="198"/>
      <c r="AH180" s="199"/>
      <c r="AI180" s="200"/>
      <c r="AJ180" s="63"/>
      <c r="AK180" s="91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</row>
    <row r="181" spans="1:87" s="1" customFormat="1" ht="18" hidden="1" customHeight="1">
      <c r="A181" s="515"/>
      <c r="B181" s="543"/>
      <c r="C181" s="3"/>
      <c r="D181" s="4"/>
      <c r="E181" s="73"/>
      <c r="F181" s="52"/>
      <c r="G181" s="529"/>
      <c r="H181" s="95"/>
      <c r="I181" s="13"/>
      <c r="J181" s="57"/>
      <c r="K181" s="105"/>
      <c r="L181" s="529"/>
      <c r="M181" s="95"/>
      <c r="N181" s="13"/>
      <c r="O181" s="57"/>
      <c r="P181" s="104"/>
      <c r="Q181" s="529"/>
      <c r="R181" s="95"/>
      <c r="S181" s="95"/>
      <c r="T181" s="57"/>
      <c r="U181" s="105"/>
      <c r="V181" s="529"/>
      <c r="W181" s="95"/>
      <c r="X181" s="13"/>
      <c r="Y181" s="57"/>
      <c r="Z181" s="105"/>
      <c r="AA181" s="529"/>
      <c r="AB181" s="208"/>
      <c r="AC181" s="13"/>
      <c r="AD181" s="57"/>
      <c r="AE181" s="105"/>
      <c r="AF181" s="529"/>
      <c r="AG181" s="198"/>
      <c r="AH181" s="199"/>
      <c r="AI181" s="200"/>
      <c r="AJ181" s="63"/>
      <c r="AK181" s="9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</row>
    <row r="182" spans="1:87" s="1" customFormat="1" ht="18" hidden="1" customHeight="1">
      <c r="A182" s="515"/>
      <c r="B182" s="543"/>
      <c r="C182" s="3"/>
      <c r="D182" s="4"/>
      <c r="E182" s="73"/>
      <c r="F182" s="52"/>
      <c r="G182" s="529"/>
      <c r="H182" s="95"/>
      <c r="I182" s="13"/>
      <c r="J182" s="57"/>
      <c r="K182" s="105"/>
      <c r="L182" s="529"/>
      <c r="M182" s="95"/>
      <c r="N182" s="13"/>
      <c r="O182" s="57"/>
      <c r="P182" s="104"/>
      <c r="Q182" s="529"/>
      <c r="R182" s="95"/>
      <c r="S182" s="95"/>
      <c r="T182" s="57"/>
      <c r="U182" s="105"/>
      <c r="V182" s="529"/>
      <c r="W182" s="95"/>
      <c r="X182" s="13"/>
      <c r="Y182" s="57"/>
      <c r="Z182" s="105"/>
      <c r="AA182" s="529"/>
      <c r="AB182" s="208"/>
      <c r="AC182" s="13"/>
      <c r="AD182" s="57"/>
      <c r="AE182" s="105"/>
      <c r="AF182" s="529"/>
      <c r="AG182" s="198"/>
      <c r="AH182" s="199"/>
      <c r="AI182" s="200"/>
      <c r="AJ182" s="63"/>
      <c r="AK182" s="91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</row>
    <row r="183" spans="1:87" s="1" customFormat="1" ht="18" hidden="1" customHeight="1">
      <c r="A183" s="593"/>
      <c r="B183" s="544"/>
      <c r="C183" s="6"/>
      <c r="D183" s="5"/>
      <c r="E183" s="74"/>
      <c r="F183" s="53"/>
      <c r="G183" s="530"/>
      <c r="H183" s="95"/>
      <c r="I183" s="13"/>
      <c r="J183" s="57"/>
      <c r="K183" s="107"/>
      <c r="L183" s="530"/>
      <c r="M183" s="95"/>
      <c r="N183" s="13"/>
      <c r="O183" s="57"/>
      <c r="P183" s="106"/>
      <c r="Q183" s="530"/>
      <c r="R183" s="95"/>
      <c r="S183" s="95"/>
      <c r="T183" s="57"/>
      <c r="U183" s="107"/>
      <c r="V183" s="530"/>
      <c r="W183" s="95"/>
      <c r="X183" s="13"/>
      <c r="Y183" s="57"/>
      <c r="Z183" s="107"/>
      <c r="AA183" s="530"/>
      <c r="AB183" s="208"/>
      <c r="AC183" s="13"/>
      <c r="AD183" s="57"/>
      <c r="AE183" s="105"/>
      <c r="AF183" s="530"/>
      <c r="AG183" s="205"/>
      <c r="AH183" s="206"/>
      <c r="AI183" s="207"/>
      <c r="AJ183" s="65"/>
      <c r="AK183" s="91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</row>
    <row r="184" spans="1:87" s="1" customFormat="1" ht="18" customHeight="1">
      <c r="A184" s="613" t="s">
        <v>34</v>
      </c>
      <c r="B184" s="542"/>
      <c r="C184" s="70"/>
      <c r="D184" s="71"/>
      <c r="E184" s="72"/>
      <c r="F184" s="61"/>
      <c r="G184" s="616" t="s">
        <v>86</v>
      </c>
      <c r="H184" s="93" t="s">
        <v>87</v>
      </c>
      <c r="I184" s="9"/>
      <c r="J184" s="56">
        <f>ROUND(65*J$2/1000,0)</f>
        <v>121</v>
      </c>
      <c r="K184" s="34" t="s">
        <v>5</v>
      </c>
      <c r="L184" s="616" t="s">
        <v>86</v>
      </c>
      <c r="M184" s="93" t="s">
        <v>87</v>
      </c>
      <c r="N184" s="9"/>
      <c r="O184" s="56">
        <f>ROUND(65*O$2/1000,0)</f>
        <v>121</v>
      </c>
      <c r="P184" s="34" t="s">
        <v>5</v>
      </c>
      <c r="Q184" s="616" t="s">
        <v>86</v>
      </c>
      <c r="R184" s="93" t="s">
        <v>87</v>
      </c>
      <c r="S184" s="9"/>
      <c r="T184" s="56">
        <f>ROUND(65*T$2/1000,0)</f>
        <v>124</v>
      </c>
      <c r="U184" s="34" t="s">
        <v>5</v>
      </c>
      <c r="V184" s="616" t="s">
        <v>86</v>
      </c>
      <c r="W184" s="93" t="s">
        <v>87</v>
      </c>
      <c r="X184" s="9"/>
      <c r="Y184" s="56">
        <f>ROUND(65*Y$2/1000,0)</f>
        <v>121</v>
      </c>
      <c r="Z184" s="34" t="s">
        <v>5</v>
      </c>
      <c r="AA184" s="616" t="s">
        <v>86</v>
      </c>
      <c r="AB184" s="93" t="s">
        <v>87</v>
      </c>
      <c r="AC184" s="9"/>
      <c r="AD184" s="56">
        <f>ROUND(65*AD$2/1000,0)</f>
        <v>84</v>
      </c>
      <c r="AE184" s="34" t="s">
        <v>5</v>
      </c>
      <c r="AF184" s="528" t="s">
        <v>86</v>
      </c>
      <c r="AG184" s="191" t="s">
        <v>87</v>
      </c>
      <c r="AH184" s="192"/>
      <c r="AI184" s="193">
        <f>ROUND(70*AI$2/1000,0)</f>
        <v>0</v>
      </c>
      <c r="AJ184" s="34" t="s">
        <v>5</v>
      </c>
      <c r="AK184" s="91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</row>
    <row r="185" spans="1:87" s="1" customFormat="1" ht="18" customHeight="1">
      <c r="A185" s="614"/>
      <c r="B185" s="543"/>
      <c r="C185" s="3"/>
      <c r="D185" s="4"/>
      <c r="E185" s="73"/>
      <c r="F185" s="62"/>
      <c r="G185" s="617"/>
      <c r="H185" s="97" t="s">
        <v>112</v>
      </c>
      <c r="I185" s="13" t="s">
        <v>113</v>
      </c>
      <c r="J185" s="57">
        <v>2</v>
      </c>
      <c r="K185" s="58" t="s">
        <v>5</v>
      </c>
      <c r="L185" s="617"/>
      <c r="M185" s="97" t="s">
        <v>112</v>
      </c>
      <c r="N185" s="13" t="s">
        <v>113</v>
      </c>
      <c r="O185" s="57">
        <v>2</v>
      </c>
      <c r="P185" s="58" t="s">
        <v>5</v>
      </c>
      <c r="Q185" s="617"/>
      <c r="R185" s="97" t="s">
        <v>112</v>
      </c>
      <c r="S185" s="13" t="s">
        <v>113</v>
      </c>
      <c r="T185" s="57">
        <v>2</v>
      </c>
      <c r="U185" s="58" t="s">
        <v>5</v>
      </c>
      <c r="V185" s="617"/>
      <c r="W185" s="97" t="s">
        <v>112</v>
      </c>
      <c r="X185" s="13" t="s">
        <v>113</v>
      </c>
      <c r="Y185" s="57">
        <v>2</v>
      </c>
      <c r="Z185" s="58" t="s">
        <v>5</v>
      </c>
      <c r="AA185" s="617"/>
      <c r="AB185" s="97" t="s">
        <v>112</v>
      </c>
      <c r="AC185" s="13" t="s">
        <v>113</v>
      </c>
      <c r="AD185" s="57">
        <v>2</v>
      </c>
      <c r="AE185" s="58" t="s">
        <v>5</v>
      </c>
      <c r="AF185" s="529"/>
      <c r="AG185" s="198" t="s">
        <v>2</v>
      </c>
      <c r="AH185" s="199"/>
      <c r="AI185" s="200">
        <v>2</v>
      </c>
      <c r="AJ185" s="58" t="s">
        <v>5</v>
      </c>
      <c r="AK185" s="91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</row>
    <row r="186" spans="1:87" s="1" customFormat="1" ht="18" customHeight="1">
      <c r="A186" s="614"/>
      <c r="B186" s="543"/>
      <c r="C186" s="3"/>
      <c r="D186" s="4"/>
      <c r="E186" s="73"/>
      <c r="F186" s="62"/>
      <c r="G186" s="617"/>
      <c r="H186" s="97" t="s">
        <v>93</v>
      </c>
      <c r="I186" s="13"/>
      <c r="J186" s="57">
        <v>5</v>
      </c>
      <c r="K186" s="58" t="s">
        <v>5</v>
      </c>
      <c r="L186" s="617"/>
      <c r="M186" s="97" t="s">
        <v>93</v>
      </c>
      <c r="N186" s="13"/>
      <c r="O186" s="57">
        <v>5</v>
      </c>
      <c r="P186" s="58" t="s">
        <v>5</v>
      </c>
      <c r="Q186" s="617"/>
      <c r="R186" s="97" t="s">
        <v>93</v>
      </c>
      <c r="S186" s="13"/>
      <c r="T186" s="57">
        <v>5</v>
      </c>
      <c r="U186" s="58" t="s">
        <v>5</v>
      </c>
      <c r="V186" s="617"/>
      <c r="W186" s="97" t="s">
        <v>93</v>
      </c>
      <c r="X186" s="13"/>
      <c r="Y186" s="57">
        <v>5</v>
      </c>
      <c r="Z186" s="58" t="s">
        <v>5</v>
      </c>
      <c r="AA186" s="617"/>
      <c r="AB186" s="97" t="s">
        <v>93</v>
      </c>
      <c r="AC186" s="13"/>
      <c r="AD186" s="57">
        <v>5</v>
      </c>
      <c r="AE186" s="58" t="s">
        <v>5</v>
      </c>
      <c r="AF186" s="529"/>
      <c r="AG186" s="198" t="s">
        <v>110</v>
      </c>
      <c r="AH186" s="199"/>
      <c r="AI186" s="200">
        <v>5</v>
      </c>
      <c r="AJ186" s="58" t="s">
        <v>5</v>
      </c>
      <c r="AK186" s="91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</row>
    <row r="187" spans="1:87" s="1" customFormat="1" ht="18" customHeight="1">
      <c r="A187" s="614"/>
      <c r="B187" s="543"/>
      <c r="C187" s="3"/>
      <c r="D187" s="4"/>
      <c r="E187" s="73"/>
      <c r="F187" s="62"/>
      <c r="G187" s="617"/>
      <c r="H187" s="97" t="s">
        <v>114</v>
      </c>
      <c r="I187" s="13" t="s">
        <v>115</v>
      </c>
      <c r="J187" s="57">
        <v>3</v>
      </c>
      <c r="K187" s="58" t="s">
        <v>5</v>
      </c>
      <c r="L187" s="617"/>
      <c r="M187" s="97" t="s">
        <v>114</v>
      </c>
      <c r="N187" s="13" t="s">
        <v>115</v>
      </c>
      <c r="O187" s="57">
        <v>3</v>
      </c>
      <c r="P187" s="58" t="s">
        <v>5</v>
      </c>
      <c r="Q187" s="617"/>
      <c r="R187" s="97" t="s">
        <v>114</v>
      </c>
      <c r="S187" s="13" t="s">
        <v>115</v>
      </c>
      <c r="T187" s="57">
        <v>3</v>
      </c>
      <c r="U187" s="58" t="s">
        <v>5</v>
      </c>
      <c r="V187" s="617"/>
      <c r="W187" s="97" t="s">
        <v>114</v>
      </c>
      <c r="X187" s="13" t="s">
        <v>115</v>
      </c>
      <c r="Y187" s="57">
        <v>3</v>
      </c>
      <c r="Z187" s="58" t="s">
        <v>5</v>
      </c>
      <c r="AA187" s="617"/>
      <c r="AB187" s="97" t="s">
        <v>114</v>
      </c>
      <c r="AC187" s="13" t="s">
        <v>115</v>
      </c>
      <c r="AD187" s="57">
        <v>3</v>
      </c>
      <c r="AE187" s="58" t="s">
        <v>5</v>
      </c>
      <c r="AF187" s="529"/>
      <c r="AG187" s="198"/>
      <c r="AH187" s="199"/>
      <c r="AI187" s="200"/>
      <c r="AJ187" s="58" t="s">
        <v>5</v>
      </c>
      <c r="AK187" s="91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</row>
    <row r="188" spans="1:87" s="1" customFormat="1" ht="17.25" customHeight="1" thickBot="1">
      <c r="A188" s="614"/>
      <c r="B188" s="543"/>
      <c r="C188" s="3"/>
      <c r="D188" s="4"/>
      <c r="E188" s="73"/>
      <c r="F188" s="62"/>
      <c r="G188" s="617"/>
      <c r="H188" s="97"/>
      <c r="I188" s="13"/>
      <c r="J188" s="57"/>
      <c r="K188" s="58"/>
      <c r="L188" s="617"/>
      <c r="M188" s="97"/>
      <c r="N188" s="13"/>
      <c r="O188" s="57"/>
      <c r="P188" s="58"/>
      <c r="Q188" s="617"/>
      <c r="R188" s="97"/>
      <c r="S188" s="13"/>
      <c r="T188" s="57"/>
      <c r="U188" s="58"/>
      <c r="V188" s="617"/>
      <c r="W188" s="97"/>
      <c r="X188" s="13"/>
      <c r="Y188" s="57"/>
      <c r="Z188" s="58"/>
      <c r="AA188" s="617"/>
      <c r="AB188" s="97"/>
      <c r="AC188" s="13"/>
      <c r="AD188" s="57"/>
      <c r="AE188" s="58"/>
      <c r="AF188" s="529"/>
      <c r="AG188" s="198"/>
      <c r="AH188" s="199"/>
      <c r="AI188" s="200"/>
      <c r="AJ188" s="58"/>
      <c r="AK188" s="91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</row>
    <row r="189" spans="1:87" s="1" customFormat="1" ht="18" hidden="1" customHeight="1" thickBot="1">
      <c r="A189" s="614"/>
      <c r="B189" s="543"/>
      <c r="C189" s="3"/>
      <c r="D189" s="4"/>
      <c r="E189" s="73"/>
      <c r="F189" s="52"/>
      <c r="G189" s="617"/>
      <c r="H189" s="97"/>
      <c r="I189" s="13"/>
      <c r="J189" s="57"/>
      <c r="K189" s="58"/>
      <c r="L189" s="617"/>
      <c r="M189" s="97"/>
      <c r="N189" s="13"/>
      <c r="O189" s="57"/>
      <c r="P189" s="58"/>
      <c r="Q189" s="617"/>
      <c r="R189" s="97"/>
      <c r="S189" s="13"/>
      <c r="T189" s="57"/>
      <c r="U189" s="58"/>
      <c r="V189" s="617"/>
      <c r="W189" s="97"/>
      <c r="X189" s="13"/>
      <c r="Y189" s="57"/>
      <c r="Z189" s="58"/>
      <c r="AA189" s="617"/>
      <c r="AB189" s="97"/>
      <c r="AC189" s="13"/>
      <c r="AD189" s="57"/>
      <c r="AE189" s="58"/>
      <c r="AF189" s="529"/>
      <c r="AG189" s="198"/>
      <c r="AH189" s="199"/>
      <c r="AI189" s="200"/>
      <c r="AJ189" s="58"/>
      <c r="AK189" s="91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</row>
    <row r="190" spans="1:87" s="1" customFormat="1" ht="18" hidden="1" customHeight="1">
      <c r="A190" s="614"/>
      <c r="B190" s="543"/>
      <c r="C190" s="3"/>
      <c r="D190" s="4"/>
      <c r="E190" s="73"/>
      <c r="F190" s="52"/>
      <c r="G190" s="617"/>
      <c r="H190" s="97"/>
      <c r="I190" s="13"/>
      <c r="J190" s="57"/>
      <c r="K190" s="58"/>
      <c r="L190" s="617"/>
      <c r="M190" s="97"/>
      <c r="N190" s="13"/>
      <c r="O190" s="57"/>
      <c r="P190" s="58"/>
      <c r="Q190" s="617"/>
      <c r="R190" s="97"/>
      <c r="S190" s="13"/>
      <c r="T190" s="57"/>
      <c r="U190" s="58"/>
      <c r="V190" s="617"/>
      <c r="W190" s="97"/>
      <c r="X190" s="13"/>
      <c r="Y190" s="57"/>
      <c r="Z190" s="58"/>
      <c r="AA190" s="617"/>
      <c r="AB190" s="97"/>
      <c r="AC190" s="13"/>
      <c r="AD190" s="57"/>
      <c r="AE190" s="58"/>
      <c r="AF190" s="529"/>
      <c r="AG190" s="198"/>
      <c r="AH190" s="199"/>
      <c r="AI190" s="200"/>
      <c r="AJ190" s="58"/>
      <c r="AK190" s="91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</row>
    <row r="191" spans="1:87" s="1" customFormat="1" ht="18" hidden="1" customHeight="1">
      <c r="A191" s="614"/>
      <c r="B191" s="543"/>
      <c r="C191" s="3"/>
      <c r="D191" s="4"/>
      <c r="E191" s="73"/>
      <c r="F191" s="52"/>
      <c r="G191" s="617"/>
      <c r="H191" s="94"/>
      <c r="I191" s="14"/>
      <c r="J191" s="57"/>
      <c r="K191" s="58"/>
      <c r="L191" s="617"/>
      <c r="M191" s="94"/>
      <c r="N191" s="14"/>
      <c r="O191" s="57"/>
      <c r="P191" s="58"/>
      <c r="Q191" s="617"/>
      <c r="R191" s="94"/>
      <c r="S191" s="14"/>
      <c r="T191" s="57"/>
      <c r="U191" s="58"/>
      <c r="V191" s="617"/>
      <c r="W191" s="94"/>
      <c r="X191" s="14"/>
      <c r="Y191" s="57"/>
      <c r="Z191" s="58"/>
      <c r="AA191" s="617"/>
      <c r="AB191" s="94"/>
      <c r="AC191" s="14"/>
      <c r="AD191" s="57"/>
      <c r="AE191" s="58"/>
      <c r="AF191" s="529"/>
      <c r="AG191" s="198"/>
      <c r="AH191" s="199"/>
      <c r="AI191" s="200"/>
      <c r="AJ191" s="58"/>
      <c r="AK191" s="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</row>
    <row r="192" spans="1:87" s="1" customFormat="1" ht="18" hidden="1" customHeight="1">
      <c r="A192" s="614"/>
      <c r="B192" s="543"/>
      <c r="C192" s="3"/>
      <c r="D192" s="4"/>
      <c r="E192" s="73"/>
      <c r="F192" s="52"/>
      <c r="G192" s="617"/>
      <c r="H192" s="112"/>
      <c r="I192" s="109"/>
      <c r="J192" s="111"/>
      <c r="K192" s="58" t="s">
        <v>5</v>
      </c>
      <c r="L192" s="617"/>
      <c r="M192" s="112"/>
      <c r="N192" s="109"/>
      <c r="O192" s="111"/>
      <c r="P192" s="58" t="s">
        <v>5</v>
      </c>
      <c r="Q192" s="617"/>
      <c r="R192" s="112"/>
      <c r="S192" s="109"/>
      <c r="T192" s="111"/>
      <c r="U192" s="58" t="s">
        <v>5</v>
      </c>
      <c r="V192" s="617"/>
      <c r="W192" s="112"/>
      <c r="X192" s="109"/>
      <c r="Y192" s="111"/>
      <c r="Z192" s="58" t="s">
        <v>5</v>
      </c>
      <c r="AA192" s="617"/>
      <c r="AB192" s="112"/>
      <c r="AC192" s="109"/>
      <c r="AD192" s="111"/>
      <c r="AE192" s="58" t="s">
        <v>5</v>
      </c>
      <c r="AF192" s="529"/>
      <c r="AG192" s="198"/>
      <c r="AH192" s="199"/>
      <c r="AI192" s="200"/>
      <c r="AJ192" s="58" t="s">
        <v>5</v>
      </c>
      <c r="AK192" s="91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</row>
    <row r="193" spans="1:87" s="1" customFormat="1" ht="18" hidden="1" customHeight="1">
      <c r="A193" s="614"/>
      <c r="B193" s="543"/>
      <c r="C193" s="3"/>
      <c r="D193" s="4"/>
      <c r="E193" s="73"/>
      <c r="F193" s="52"/>
      <c r="G193" s="617"/>
      <c r="H193" s="112"/>
      <c r="I193" s="109"/>
      <c r="J193" s="111"/>
      <c r="K193" s="58"/>
      <c r="L193" s="617"/>
      <c r="M193" s="112"/>
      <c r="N193" s="109"/>
      <c r="O193" s="111"/>
      <c r="P193" s="58"/>
      <c r="Q193" s="617"/>
      <c r="R193" s="112"/>
      <c r="S193" s="109"/>
      <c r="T193" s="111"/>
      <c r="U193" s="58"/>
      <c r="V193" s="617"/>
      <c r="W193" s="112"/>
      <c r="X193" s="109"/>
      <c r="Y193" s="111"/>
      <c r="Z193" s="58"/>
      <c r="AA193" s="617"/>
      <c r="AB193" s="112"/>
      <c r="AC193" s="109"/>
      <c r="AD193" s="111"/>
      <c r="AE193" s="58"/>
      <c r="AF193" s="529"/>
      <c r="AG193" s="198"/>
      <c r="AH193" s="199"/>
      <c r="AI193" s="200"/>
      <c r="AJ193" s="58"/>
      <c r="AK193" s="91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</row>
    <row r="194" spans="1:87" s="1" customFormat="1" ht="18" hidden="1" customHeight="1">
      <c r="A194" s="614"/>
      <c r="B194" s="543"/>
      <c r="C194" s="3"/>
      <c r="D194" s="4"/>
      <c r="E194" s="73"/>
      <c r="F194" s="52"/>
      <c r="G194" s="617"/>
      <c r="H194" s="112"/>
      <c r="I194" s="109"/>
      <c r="J194" s="111"/>
      <c r="K194" s="58"/>
      <c r="L194" s="617"/>
      <c r="M194" s="112"/>
      <c r="N194" s="109"/>
      <c r="O194" s="111"/>
      <c r="P194" s="58"/>
      <c r="Q194" s="617"/>
      <c r="R194" s="112"/>
      <c r="S194" s="109"/>
      <c r="T194" s="111"/>
      <c r="U194" s="58"/>
      <c r="V194" s="617"/>
      <c r="W194" s="112"/>
      <c r="X194" s="109"/>
      <c r="Y194" s="111"/>
      <c r="Z194" s="58"/>
      <c r="AA194" s="617"/>
      <c r="AB194" s="112"/>
      <c r="AC194" s="109"/>
      <c r="AD194" s="111"/>
      <c r="AE194" s="58"/>
      <c r="AF194" s="529"/>
      <c r="AG194" s="198"/>
      <c r="AH194" s="199"/>
      <c r="AI194" s="200"/>
      <c r="AJ194" s="58"/>
      <c r="AK194" s="91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</row>
    <row r="195" spans="1:87" s="1" customFormat="1" ht="18" hidden="1" customHeight="1">
      <c r="A195" s="614"/>
      <c r="B195" s="543"/>
      <c r="C195" s="3"/>
      <c r="D195" s="4"/>
      <c r="E195" s="73"/>
      <c r="F195" s="52"/>
      <c r="G195" s="617"/>
      <c r="H195" s="112"/>
      <c r="I195" s="109"/>
      <c r="J195" s="111"/>
      <c r="K195" s="58"/>
      <c r="L195" s="617"/>
      <c r="M195" s="112"/>
      <c r="N195" s="109"/>
      <c r="O195" s="111"/>
      <c r="P195" s="58"/>
      <c r="Q195" s="617"/>
      <c r="R195" s="112"/>
      <c r="S195" s="109"/>
      <c r="T195" s="111"/>
      <c r="U195" s="58"/>
      <c r="V195" s="617"/>
      <c r="W195" s="112"/>
      <c r="X195" s="109"/>
      <c r="Y195" s="111"/>
      <c r="Z195" s="58"/>
      <c r="AA195" s="617"/>
      <c r="AB195" s="112"/>
      <c r="AC195" s="109"/>
      <c r="AD195" s="111"/>
      <c r="AE195" s="58"/>
      <c r="AF195" s="529"/>
      <c r="AG195" s="198"/>
      <c r="AH195" s="199"/>
      <c r="AI195" s="200"/>
      <c r="AJ195" s="58"/>
      <c r="AK195" s="91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</row>
    <row r="196" spans="1:87" s="1" customFormat="1" ht="18" hidden="1" customHeight="1">
      <c r="A196" s="614"/>
      <c r="B196" s="543"/>
      <c r="C196" s="3"/>
      <c r="D196" s="4"/>
      <c r="E196" s="73"/>
      <c r="F196" s="52"/>
      <c r="G196" s="617"/>
      <c r="H196" s="112"/>
      <c r="I196" s="109"/>
      <c r="J196" s="111"/>
      <c r="K196" s="58"/>
      <c r="L196" s="617"/>
      <c r="M196" s="112"/>
      <c r="N196" s="109"/>
      <c r="O196" s="111"/>
      <c r="P196" s="58"/>
      <c r="Q196" s="617"/>
      <c r="R196" s="112"/>
      <c r="S196" s="109"/>
      <c r="T196" s="111"/>
      <c r="U196" s="58"/>
      <c r="V196" s="617"/>
      <c r="W196" s="112"/>
      <c r="X196" s="109"/>
      <c r="Y196" s="111"/>
      <c r="Z196" s="58"/>
      <c r="AA196" s="617"/>
      <c r="AB196" s="112"/>
      <c r="AC196" s="109"/>
      <c r="AD196" s="111"/>
      <c r="AE196" s="58"/>
      <c r="AF196" s="529"/>
      <c r="AG196" s="198"/>
      <c r="AH196" s="199"/>
      <c r="AI196" s="200"/>
      <c r="AJ196" s="58"/>
      <c r="AK196" s="91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</row>
    <row r="197" spans="1:87" s="1" customFormat="1" ht="18" hidden="1" customHeight="1">
      <c r="A197" s="614"/>
      <c r="B197" s="543"/>
      <c r="C197" s="3"/>
      <c r="D197" s="4"/>
      <c r="E197" s="73"/>
      <c r="F197" s="52"/>
      <c r="G197" s="617"/>
      <c r="H197" s="112"/>
      <c r="I197" s="109"/>
      <c r="J197" s="111"/>
      <c r="K197" s="58"/>
      <c r="L197" s="617"/>
      <c r="M197" s="112"/>
      <c r="N197" s="109"/>
      <c r="O197" s="111"/>
      <c r="P197" s="58"/>
      <c r="Q197" s="617"/>
      <c r="R197" s="112"/>
      <c r="S197" s="109"/>
      <c r="T197" s="111"/>
      <c r="U197" s="58"/>
      <c r="V197" s="617"/>
      <c r="W197" s="112"/>
      <c r="X197" s="109"/>
      <c r="Y197" s="111"/>
      <c r="Z197" s="58"/>
      <c r="AA197" s="617"/>
      <c r="AB197" s="112"/>
      <c r="AC197" s="109"/>
      <c r="AD197" s="111"/>
      <c r="AE197" s="58"/>
      <c r="AF197" s="529"/>
      <c r="AG197" s="198"/>
      <c r="AH197" s="199"/>
      <c r="AI197" s="200"/>
      <c r="AJ197" s="58"/>
      <c r="AK197" s="91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</row>
    <row r="198" spans="1:87" s="1" customFormat="1" ht="18" hidden="1" customHeight="1">
      <c r="A198" s="615"/>
      <c r="B198" s="544"/>
      <c r="C198" s="6"/>
      <c r="D198" s="5"/>
      <c r="E198" s="74"/>
      <c r="F198" s="53"/>
      <c r="G198" s="618"/>
      <c r="H198" s="112"/>
      <c r="I198" s="109"/>
      <c r="J198" s="111"/>
      <c r="K198" s="58"/>
      <c r="L198" s="618"/>
      <c r="M198" s="112"/>
      <c r="N198" s="109"/>
      <c r="O198" s="111"/>
      <c r="P198" s="58"/>
      <c r="Q198" s="618"/>
      <c r="R198" s="112"/>
      <c r="S198" s="109"/>
      <c r="T198" s="111"/>
      <c r="U198" s="58"/>
      <c r="V198" s="618"/>
      <c r="W198" s="112"/>
      <c r="X198" s="109"/>
      <c r="Y198" s="111"/>
      <c r="Z198" s="58"/>
      <c r="AA198" s="618"/>
      <c r="AB198" s="112"/>
      <c r="AC198" s="109"/>
      <c r="AD198" s="111"/>
      <c r="AE198" s="58"/>
      <c r="AF198" s="530"/>
      <c r="AG198" s="205"/>
      <c r="AH198" s="206"/>
      <c r="AI198" s="207"/>
      <c r="AJ198" s="58"/>
      <c r="AK198" s="91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</row>
    <row r="199" spans="1:87" s="1" customFormat="1" ht="18" customHeight="1">
      <c r="A199" s="613" t="s">
        <v>58</v>
      </c>
      <c r="B199" s="542"/>
      <c r="C199" s="70"/>
      <c r="D199" s="71"/>
      <c r="E199" s="72"/>
      <c r="F199" s="51"/>
      <c r="G199" s="605" t="s">
        <v>194</v>
      </c>
      <c r="H199" s="285" t="s">
        <v>103</v>
      </c>
      <c r="I199" s="282"/>
      <c r="J199" s="427">
        <f>ROUND(23*J$267/1000,0)</f>
        <v>29</v>
      </c>
      <c r="K199" s="284" t="s">
        <v>0</v>
      </c>
      <c r="L199" s="605" t="s">
        <v>173</v>
      </c>
      <c r="M199" s="285" t="s">
        <v>108</v>
      </c>
      <c r="N199" s="282"/>
      <c r="O199" s="283">
        <f>ROUND(15*O$267/1000,0)</f>
        <v>19</v>
      </c>
      <c r="P199" s="284" t="s">
        <v>0</v>
      </c>
      <c r="Q199" s="608" t="s">
        <v>280</v>
      </c>
      <c r="R199" s="285" t="s">
        <v>136</v>
      </c>
      <c r="S199" s="282"/>
      <c r="T199" s="283">
        <f>ROUND(15*T$267/1000,0)</f>
        <v>19</v>
      </c>
      <c r="U199" s="284" t="s">
        <v>0</v>
      </c>
      <c r="V199" s="608" t="s">
        <v>294</v>
      </c>
      <c r="W199" s="285" t="s">
        <v>295</v>
      </c>
      <c r="X199" s="282" t="s">
        <v>296</v>
      </c>
      <c r="Y199" s="283">
        <f>ROUND(20*Y$267/1000,0)</f>
        <v>25</v>
      </c>
      <c r="Z199" s="284" t="s">
        <v>0</v>
      </c>
      <c r="AA199" s="605" t="s">
        <v>195</v>
      </c>
      <c r="AB199" s="361" t="s">
        <v>157</v>
      </c>
      <c r="AC199" s="282" t="s">
        <v>149</v>
      </c>
      <c r="AD199" s="283">
        <f>ROUND(13*AD$267/1000,0)</f>
        <v>9</v>
      </c>
      <c r="AE199" s="284" t="s">
        <v>0</v>
      </c>
      <c r="AF199" s="610"/>
      <c r="AG199" s="233"/>
      <c r="AH199" s="135"/>
      <c r="AI199" s="144"/>
      <c r="AJ199" s="101" t="s">
        <v>0</v>
      </c>
      <c r="AK199" s="91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</row>
    <row r="200" spans="1:87" s="1" customFormat="1" ht="18" customHeight="1">
      <c r="A200" s="614"/>
      <c r="B200" s="543"/>
      <c r="C200" s="3"/>
      <c r="D200" s="4"/>
      <c r="E200" s="73"/>
      <c r="F200" s="52"/>
      <c r="G200" s="606"/>
      <c r="H200" s="289" t="s">
        <v>196</v>
      </c>
      <c r="I200" s="286"/>
      <c r="J200" s="287">
        <v>16</v>
      </c>
      <c r="K200" s="306" t="s">
        <v>21</v>
      </c>
      <c r="L200" s="606"/>
      <c r="M200" s="289" t="s">
        <v>127</v>
      </c>
      <c r="N200" s="286"/>
      <c r="O200" s="287">
        <f>MROUND(15*O$267/1000,1.2)</f>
        <v>19.2</v>
      </c>
      <c r="P200" s="288" t="s">
        <v>0</v>
      </c>
      <c r="Q200" s="609"/>
      <c r="R200" s="289" t="s">
        <v>122</v>
      </c>
      <c r="S200" s="286"/>
      <c r="T200" s="287">
        <f>ROUND(15*T$267/1000,0)</f>
        <v>19</v>
      </c>
      <c r="U200" s="288" t="s">
        <v>0</v>
      </c>
      <c r="V200" s="609"/>
      <c r="W200" s="289" t="s">
        <v>197</v>
      </c>
      <c r="X200" s="286"/>
      <c r="Y200" s="287">
        <v>2</v>
      </c>
      <c r="Z200" s="288" t="s">
        <v>0</v>
      </c>
      <c r="AA200" s="606"/>
      <c r="AB200" s="362" t="s">
        <v>198</v>
      </c>
      <c r="AC200" s="286" t="s">
        <v>149</v>
      </c>
      <c r="AD200" s="287">
        <f>ROUND(15*AD$267/1000,0)</f>
        <v>10</v>
      </c>
      <c r="AE200" s="288" t="s">
        <v>0</v>
      </c>
      <c r="AF200" s="611"/>
      <c r="AG200" s="232"/>
      <c r="AH200" s="227"/>
      <c r="AI200" s="186"/>
      <c r="AJ200" s="102" t="s">
        <v>0</v>
      </c>
      <c r="AK200" s="91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</row>
    <row r="201" spans="1:87" s="1" customFormat="1" ht="18" customHeight="1">
      <c r="A201" s="614"/>
      <c r="B201" s="543"/>
      <c r="C201" s="3"/>
      <c r="D201" s="4"/>
      <c r="E201" s="73"/>
      <c r="F201" s="52"/>
      <c r="G201" s="606"/>
      <c r="H201" s="289" t="s">
        <v>199</v>
      </c>
      <c r="I201" s="286"/>
      <c r="J201" s="287">
        <v>1</v>
      </c>
      <c r="K201" s="306" t="s">
        <v>21</v>
      </c>
      <c r="L201" s="606"/>
      <c r="M201" s="289" t="s">
        <v>129</v>
      </c>
      <c r="N201" s="286"/>
      <c r="O201" s="287">
        <v>2</v>
      </c>
      <c r="P201" s="306" t="s">
        <v>125</v>
      </c>
      <c r="Q201" s="609"/>
      <c r="R201" s="289" t="s">
        <v>133</v>
      </c>
      <c r="S201" s="286"/>
      <c r="T201" s="287">
        <v>9</v>
      </c>
      <c r="U201" s="288" t="s">
        <v>0</v>
      </c>
      <c r="V201" s="609"/>
      <c r="W201" s="289" t="s">
        <v>120</v>
      </c>
      <c r="X201" s="286"/>
      <c r="Y201" s="287">
        <f>ROUND(15*Y$267/1000,0)</f>
        <v>19</v>
      </c>
      <c r="Z201" s="288" t="s">
        <v>0</v>
      </c>
      <c r="AA201" s="606"/>
      <c r="AB201" s="362" t="s">
        <v>132</v>
      </c>
      <c r="AC201" s="286"/>
      <c r="AD201" s="287">
        <f>ROUND(20*AD$267/1000,0)</f>
        <v>13</v>
      </c>
      <c r="AE201" s="288" t="s">
        <v>0</v>
      </c>
      <c r="AF201" s="611"/>
      <c r="AG201" s="136"/>
      <c r="AH201" s="227"/>
      <c r="AI201" s="186"/>
      <c r="AJ201" s="102" t="s">
        <v>0</v>
      </c>
      <c r="AK201" s="9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</row>
    <row r="202" spans="1:87" s="1" customFormat="1" ht="18" customHeight="1">
      <c r="A202" s="614"/>
      <c r="B202" s="543"/>
      <c r="C202" s="3"/>
      <c r="D202" s="4"/>
      <c r="E202" s="73"/>
      <c r="F202" s="52"/>
      <c r="G202" s="606"/>
      <c r="H202" s="289" t="s">
        <v>92</v>
      </c>
      <c r="I202" s="286" t="s">
        <v>1</v>
      </c>
      <c r="J202" s="287">
        <f>MROUND(5*J$267/1000,3)</f>
        <v>6</v>
      </c>
      <c r="K202" s="288" t="s">
        <v>0</v>
      </c>
      <c r="L202" s="606"/>
      <c r="M202" s="466"/>
      <c r="N202" s="466"/>
      <c r="O202" s="466"/>
      <c r="P202" s="288" t="s">
        <v>0</v>
      </c>
      <c r="Q202" s="609"/>
      <c r="R202" s="289"/>
      <c r="S202" s="286"/>
      <c r="T202" s="287"/>
      <c r="U202" s="288" t="s">
        <v>0</v>
      </c>
      <c r="V202" s="609"/>
      <c r="W202" s="289" t="s">
        <v>133</v>
      </c>
      <c r="X202" s="286"/>
      <c r="Y202" s="287">
        <v>9</v>
      </c>
      <c r="Z202" s="288" t="s">
        <v>0</v>
      </c>
      <c r="AA202" s="606"/>
      <c r="AB202" s="362"/>
      <c r="AC202" s="286"/>
      <c r="AD202" s="287"/>
      <c r="AE202" s="288" t="s">
        <v>0</v>
      </c>
      <c r="AF202" s="611"/>
      <c r="AG202" s="136"/>
      <c r="AH202" s="227"/>
      <c r="AI202" s="186"/>
      <c r="AJ202" s="102" t="s">
        <v>0</v>
      </c>
      <c r="AK202" s="91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</row>
    <row r="203" spans="1:87" s="1" customFormat="1" ht="18" customHeight="1">
      <c r="A203" s="614"/>
      <c r="B203" s="543"/>
      <c r="C203" s="3"/>
      <c r="D203" s="4"/>
      <c r="E203" s="73"/>
      <c r="F203" s="52"/>
      <c r="G203" s="606"/>
      <c r="H203" s="289"/>
      <c r="I203" s="286"/>
      <c r="J203" s="287"/>
      <c r="K203" s="288" t="s">
        <v>0</v>
      </c>
      <c r="L203" s="606"/>
      <c r="M203" s="289"/>
      <c r="N203" s="286"/>
      <c r="O203" s="287"/>
      <c r="P203" s="288" t="s">
        <v>0</v>
      </c>
      <c r="Q203" s="609"/>
      <c r="R203" s="289"/>
      <c r="S203" s="286"/>
      <c r="T203" s="287"/>
      <c r="U203" s="306" t="s">
        <v>0</v>
      </c>
      <c r="V203" s="609"/>
      <c r="W203" s="289"/>
      <c r="X203" s="286"/>
      <c r="Y203" s="287"/>
      <c r="Z203" s="288" t="s">
        <v>0</v>
      </c>
      <c r="AA203" s="606"/>
      <c r="AB203" s="362"/>
      <c r="AC203" s="286"/>
      <c r="AD203" s="287"/>
      <c r="AE203" s="288" t="s">
        <v>0</v>
      </c>
      <c r="AF203" s="611"/>
      <c r="AG203" s="136"/>
      <c r="AH203" s="227"/>
      <c r="AI203" s="186"/>
      <c r="AJ203" s="102" t="s">
        <v>0</v>
      </c>
      <c r="AK203" s="91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</row>
    <row r="204" spans="1:87" s="1" customFormat="1" ht="18" customHeight="1">
      <c r="A204" s="614"/>
      <c r="B204" s="543"/>
      <c r="C204" s="3"/>
      <c r="D204" s="4"/>
      <c r="E204" s="73"/>
      <c r="F204" s="52"/>
      <c r="G204" s="606"/>
      <c r="H204" s="289"/>
      <c r="I204" s="286"/>
      <c r="J204" s="287"/>
      <c r="K204" s="288" t="s">
        <v>0</v>
      </c>
      <c r="L204" s="606"/>
      <c r="M204" s="289"/>
      <c r="N204" s="286"/>
      <c r="O204" s="287"/>
      <c r="P204" s="288" t="s">
        <v>0</v>
      </c>
      <c r="Q204" s="609"/>
      <c r="R204" s="289"/>
      <c r="S204" s="286"/>
      <c r="T204" s="287"/>
      <c r="U204" s="306" t="s">
        <v>0</v>
      </c>
      <c r="V204" s="609"/>
      <c r="W204" s="289"/>
      <c r="X204" s="286"/>
      <c r="Y204" s="287"/>
      <c r="Z204" s="288" t="s">
        <v>0</v>
      </c>
      <c r="AA204" s="606"/>
      <c r="AB204" s="362"/>
      <c r="AC204" s="286"/>
      <c r="AD204" s="287"/>
      <c r="AE204" s="288" t="s">
        <v>0</v>
      </c>
      <c r="AF204" s="611"/>
      <c r="AG204" s="136"/>
      <c r="AH204" s="227"/>
      <c r="AI204" s="186"/>
      <c r="AJ204" s="102" t="s">
        <v>0</v>
      </c>
      <c r="AK204" s="91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</row>
    <row r="205" spans="1:87" s="1" customFormat="1" ht="18" customHeight="1">
      <c r="A205" s="614"/>
      <c r="B205" s="543"/>
      <c r="C205" s="3"/>
      <c r="D205" s="4"/>
      <c r="E205" s="73"/>
      <c r="F205" s="52"/>
      <c r="G205" s="606"/>
      <c r="H205" s="289"/>
      <c r="I205" s="286"/>
      <c r="J205" s="287"/>
      <c r="K205" s="288" t="s">
        <v>0</v>
      </c>
      <c r="L205" s="606"/>
      <c r="M205" s="289"/>
      <c r="N205" s="286"/>
      <c r="O205" s="287"/>
      <c r="P205" s="288" t="s">
        <v>0</v>
      </c>
      <c r="Q205" s="609"/>
      <c r="R205" s="289"/>
      <c r="S205" s="286"/>
      <c r="T205" s="287"/>
      <c r="U205" s="288" t="s">
        <v>0</v>
      </c>
      <c r="V205" s="609"/>
      <c r="W205" s="289"/>
      <c r="X205" s="286"/>
      <c r="Y205" s="287"/>
      <c r="Z205" s="288" t="s">
        <v>0</v>
      </c>
      <c r="AA205" s="606"/>
      <c r="AB205" s="362"/>
      <c r="AC205" s="286"/>
      <c r="AD205" s="287"/>
      <c r="AE205" s="288" t="s">
        <v>0</v>
      </c>
      <c r="AF205" s="611"/>
      <c r="AG205" s="136"/>
      <c r="AH205" s="227"/>
      <c r="AI205" s="186"/>
      <c r="AJ205" s="102" t="s">
        <v>0</v>
      </c>
      <c r="AK205" s="91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</row>
    <row r="206" spans="1:87" s="1" customFormat="1" ht="18" customHeight="1" thickBot="1">
      <c r="A206" s="614"/>
      <c r="B206" s="543"/>
      <c r="C206" s="3"/>
      <c r="D206" s="4"/>
      <c r="E206" s="73"/>
      <c r="F206" s="52"/>
      <c r="G206" s="606"/>
      <c r="H206" s="311"/>
      <c r="I206" s="290"/>
      <c r="J206" s="287"/>
      <c r="K206" s="288" t="s">
        <v>0</v>
      </c>
      <c r="L206" s="606"/>
      <c r="M206" s="311"/>
      <c r="N206" s="290"/>
      <c r="O206" s="287"/>
      <c r="P206" s="288" t="s">
        <v>0</v>
      </c>
      <c r="Q206" s="609"/>
      <c r="R206" s="311"/>
      <c r="S206" s="290"/>
      <c r="T206" s="287"/>
      <c r="U206" s="288" t="s">
        <v>0</v>
      </c>
      <c r="V206" s="609"/>
      <c r="W206" s="311"/>
      <c r="X206" s="290"/>
      <c r="Y206" s="287"/>
      <c r="Z206" s="291" t="s">
        <v>0</v>
      </c>
      <c r="AA206" s="606"/>
      <c r="AB206" s="363"/>
      <c r="AC206" s="290"/>
      <c r="AD206" s="287"/>
      <c r="AE206" s="288" t="s">
        <v>0</v>
      </c>
      <c r="AF206" s="611"/>
      <c r="AG206" s="137"/>
      <c r="AH206" s="138"/>
      <c r="AI206" s="157"/>
      <c r="AJ206" s="145" t="s">
        <v>0</v>
      </c>
      <c r="AK206" s="91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</row>
    <row r="207" spans="1:87" s="1" customFormat="1" ht="18" hidden="1" customHeight="1" thickBot="1">
      <c r="A207" s="614"/>
      <c r="B207" s="543"/>
      <c r="C207" s="3"/>
      <c r="D207" s="4"/>
      <c r="E207" s="73"/>
      <c r="F207" s="52"/>
      <c r="G207" s="606"/>
      <c r="H207" s="314"/>
      <c r="I207" s="294"/>
      <c r="J207" s="295"/>
      <c r="K207" s="288"/>
      <c r="L207" s="606"/>
      <c r="M207" s="314"/>
      <c r="N207" s="294"/>
      <c r="O207" s="295"/>
      <c r="P207" s="288" t="s">
        <v>0</v>
      </c>
      <c r="Q207" s="606"/>
      <c r="R207" s="325"/>
      <c r="S207" s="296"/>
      <c r="T207" s="307"/>
      <c r="U207" s="288"/>
      <c r="V207" s="606"/>
      <c r="W207" s="325"/>
      <c r="X207" s="296"/>
      <c r="Y207" s="307"/>
      <c r="Z207" s="298"/>
      <c r="AA207" s="606"/>
      <c r="AB207" s="227"/>
      <c r="AC207" s="227"/>
      <c r="AD207" s="308"/>
      <c r="AE207" s="288"/>
      <c r="AF207" s="611"/>
      <c r="AG207" s="136"/>
      <c r="AH207" s="227"/>
      <c r="AI207" s="228"/>
      <c r="AJ207" s="146"/>
      <c r="AK207" s="91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</row>
    <row r="208" spans="1:87" s="1" customFormat="1" ht="18" hidden="1" customHeight="1">
      <c r="A208" s="614"/>
      <c r="B208" s="543"/>
      <c r="C208" s="3"/>
      <c r="D208" s="4"/>
      <c r="E208" s="73"/>
      <c r="F208" s="52"/>
      <c r="G208" s="606"/>
      <c r="H208" s="314"/>
      <c r="I208" s="294"/>
      <c r="J208" s="295"/>
      <c r="K208" s="288"/>
      <c r="L208" s="606"/>
      <c r="M208" s="314"/>
      <c r="N208" s="294"/>
      <c r="O208" s="295"/>
      <c r="P208" s="288"/>
      <c r="Q208" s="606"/>
      <c r="R208" s="325"/>
      <c r="S208" s="296"/>
      <c r="T208" s="307"/>
      <c r="U208" s="288"/>
      <c r="V208" s="606"/>
      <c r="W208" s="325"/>
      <c r="X208" s="296"/>
      <c r="Y208" s="307"/>
      <c r="Z208" s="298"/>
      <c r="AA208" s="606"/>
      <c r="AB208" s="227"/>
      <c r="AC208" s="227"/>
      <c r="AD208" s="308"/>
      <c r="AE208" s="288"/>
      <c r="AF208" s="611"/>
      <c r="AG208" s="136"/>
      <c r="AH208" s="227"/>
      <c r="AI208" s="228"/>
      <c r="AJ208" s="146"/>
      <c r="AK208" s="91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</row>
    <row r="209" spans="1:87" s="1" customFormat="1" ht="18" hidden="1" customHeight="1">
      <c r="A209" s="614"/>
      <c r="B209" s="543"/>
      <c r="C209" s="3"/>
      <c r="D209" s="4"/>
      <c r="E209" s="73"/>
      <c r="F209" s="52"/>
      <c r="G209" s="606"/>
      <c r="H209" s="314"/>
      <c r="I209" s="294"/>
      <c r="J209" s="295"/>
      <c r="K209" s="288"/>
      <c r="L209" s="606"/>
      <c r="M209" s="314"/>
      <c r="N209" s="294"/>
      <c r="O209" s="295"/>
      <c r="P209" s="288"/>
      <c r="Q209" s="606"/>
      <c r="R209" s="325"/>
      <c r="S209" s="296"/>
      <c r="T209" s="307"/>
      <c r="U209" s="288"/>
      <c r="V209" s="606"/>
      <c r="W209" s="325"/>
      <c r="X209" s="296"/>
      <c r="Y209" s="307"/>
      <c r="Z209" s="298"/>
      <c r="AA209" s="606"/>
      <c r="AB209" s="227"/>
      <c r="AC209" s="227"/>
      <c r="AD209" s="308"/>
      <c r="AE209" s="288"/>
      <c r="AF209" s="611"/>
      <c r="AG209" s="136"/>
      <c r="AH209" s="227"/>
      <c r="AI209" s="228"/>
      <c r="AJ209" s="146"/>
      <c r="AK209" s="91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</row>
    <row r="210" spans="1:87" s="1" customFormat="1" ht="18" hidden="1" customHeight="1">
      <c r="A210" s="614"/>
      <c r="B210" s="543"/>
      <c r="C210" s="3"/>
      <c r="D210" s="4"/>
      <c r="E210" s="73"/>
      <c r="F210" s="52"/>
      <c r="G210" s="606"/>
      <c r="H210" s="314"/>
      <c r="I210" s="294"/>
      <c r="J210" s="295"/>
      <c r="K210" s="288"/>
      <c r="L210" s="606"/>
      <c r="M210" s="314"/>
      <c r="N210" s="294"/>
      <c r="O210" s="295"/>
      <c r="P210" s="288"/>
      <c r="Q210" s="606"/>
      <c r="R210" s="325"/>
      <c r="S210" s="296"/>
      <c r="T210" s="307"/>
      <c r="U210" s="288"/>
      <c r="V210" s="606"/>
      <c r="W210" s="325"/>
      <c r="X210" s="296"/>
      <c r="Y210" s="307"/>
      <c r="Z210" s="298"/>
      <c r="AA210" s="606"/>
      <c r="AB210" s="227"/>
      <c r="AC210" s="227"/>
      <c r="AD210" s="308"/>
      <c r="AE210" s="288"/>
      <c r="AF210" s="611"/>
      <c r="AG210" s="136"/>
      <c r="AH210" s="227"/>
      <c r="AI210" s="228"/>
      <c r="AJ210" s="146"/>
      <c r="AK210" s="91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</row>
    <row r="211" spans="1:87" s="1" customFormat="1" ht="18" hidden="1" customHeight="1">
      <c r="A211" s="614"/>
      <c r="B211" s="543"/>
      <c r="C211" s="3"/>
      <c r="D211" s="4"/>
      <c r="E211" s="73"/>
      <c r="F211" s="52"/>
      <c r="G211" s="606"/>
      <c r="H211" s="314"/>
      <c r="I211" s="294"/>
      <c r="J211" s="295"/>
      <c r="K211" s="288"/>
      <c r="L211" s="606"/>
      <c r="M211" s="314"/>
      <c r="N211" s="294"/>
      <c r="O211" s="295"/>
      <c r="P211" s="288"/>
      <c r="Q211" s="606"/>
      <c r="R211" s="325"/>
      <c r="S211" s="296"/>
      <c r="T211" s="307"/>
      <c r="U211" s="288"/>
      <c r="V211" s="606"/>
      <c r="W211" s="325"/>
      <c r="X211" s="296"/>
      <c r="Y211" s="307"/>
      <c r="Z211" s="298"/>
      <c r="AA211" s="606"/>
      <c r="AB211" s="227"/>
      <c r="AC211" s="227"/>
      <c r="AD211" s="308"/>
      <c r="AE211" s="288"/>
      <c r="AF211" s="611"/>
      <c r="AG211" s="136"/>
      <c r="AH211" s="227"/>
      <c r="AI211" s="228"/>
      <c r="AJ211" s="146"/>
      <c r="AK211" s="9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</row>
    <row r="212" spans="1:87" s="1" customFormat="1" ht="18" hidden="1" customHeight="1">
      <c r="A212" s="614"/>
      <c r="B212" s="543"/>
      <c r="C212" s="3"/>
      <c r="D212" s="4"/>
      <c r="E212" s="73"/>
      <c r="F212" s="52"/>
      <c r="G212" s="606"/>
      <c r="H212" s="314"/>
      <c r="I212" s="294"/>
      <c r="J212" s="295"/>
      <c r="K212" s="288"/>
      <c r="L212" s="606"/>
      <c r="M212" s="314"/>
      <c r="N212" s="294"/>
      <c r="O212" s="295"/>
      <c r="P212" s="288"/>
      <c r="Q212" s="606"/>
      <c r="R212" s="325"/>
      <c r="S212" s="296"/>
      <c r="T212" s="307"/>
      <c r="U212" s="288"/>
      <c r="V212" s="606"/>
      <c r="W212" s="325"/>
      <c r="X212" s="296"/>
      <c r="Y212" s="307"/>
      <c r="Z212" s="298"/>
      <c r="AA212" s="606"/>
      <c r="AB212" s="227"/>
      <c r="AC212" s="227"/>
      <c r="AD212" s="308"/>
      <c r="AE212" s="288"/>
      <c r="AF212" s="611"/>
      <c r="AG212" s="136"/>
      <c r="AH212" s="227"/>
      <c r="AI212" s="228"/>
      <c r="AJ212" s="146"/>
      <c r="AK212" s="91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</row>
    <row r="213" spans="1:87" s="1" customFormat="1" ht="18" hidden="1" customHeight="1">
      <c r="A213" s="615"/>
      <c r="B213" s="543"/>
      <c r="C213" s="3"/>
      <c r="D213" s="4"/>
      <c r="E213" s="73"/>
      <c r="F213" s="52"/>
      <c r="G213" s="607"/>
      <c r="H213" s="316"/>
      <c r="I213" s="302"/>
      <c r="J213" s="303"/>
      <c r="K213" s="291"/>
      <c r="L213" s="607"/>
      <c r="M213" s="316"/>
      <c r="N213" s="302"/>
      <c r="O213" s="303"/>
      <c r="P213" s="291"/>
      <c r="Q213" s="606"/>
      <c r="R213" s="326"/>
      <c r="S213" s="304"/>
      <c r="T213" s="309"/>
      <c r="U213" s="288"/>
      <c r="V213" s="607"/>
      <c r="W213" s="326"/>
      <c r="X213" s="304"/>
      <c r="Y213" s="309"/>
      <c r="Z213" s="305"/>
      <c r="AA213" s="607"/>
      <c r="AB213" s="138"/>
      <c r="AC213" s="138"/>
      <c r="AD213" s="310"/>
      <c r="AE213" s="291"/>
      <c r="AF213" s="612"/>
      <c r="AG213" s="137"/>
      <c r="AH213" s="138"/>
      <c r="AI213" s="158"/>
      <c r="AJ213" s="147"/>
      <c r="AK213" s="91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</row>
    <row r="214" spans="1:87" s="1" customFormat="1" ht="18" customHeight="1">
      <c r="A214" s="514" t="s">
        <v>59</v>
      </c>
      <c r="B214" s="159"/>
      <c r="C214" s="160"/>
      <c r="D214" s="161"/>
      <c r="E214" s="162"/>
      <c r="F214" s="163"/>
      <c r="G214" s="148" t="s">
        <v>408</v>
      </c>
      <c r="H214" s="151" t="s">
        <v>409</v>
      </c>
      <c r="I214" s="216"/>
      <c r="J214" s="151"/>
      <c r="K214" s="152" t="s">
        <v>10</v>
      </c>
      <c r="L214" s="148" t="s">
        <v>89</v>
      </c>
      <c r="M214" s="164" t="s">
        <v>90</v>
      </c>
      <c r="N214" s="216"/>
      <c r="O214" s="151"/>
      <c r="P214" s="152" t="s">
        <v>10</v>
      </c>
      <c r="Q214" s="148" t="s">
        <v>7</v>
      </c>
      <c r="R214" s="164" t="s">
        <v>88</v>
      </c>
      <c r="S214" s="217"/>
      <c r="T214" s="151"/>
      <c r="U214" s="152" t="s">
        <v>10</v>
      </c>
      <c r="V214" s="148" t="s">
        <v>89</v>
      </c>
      <c r="W214" s="164" t="s">
        <v>90</v>
      </c>
      <c r="X214" s="216"/>
      <c r="Y214" s="151"/>
      <c r="Z214" s="152" t="s">
        <v>10</v>
      </c>
      <c r="AA214" s="148" t="s">
        <v>7</v>
      </c>
      <c r="AB214" s="164" t="s">
        <v>7</v>
      </c>
      <c r="AC214" s="165"/>
      <c r="AD214" s="151"/>
      <c r="AE214" s="152" t="s">
        <v>10</v>
      </c>
      <c r="AF214" s="148"/>
      <c r="AG214" s="164"/>
      <c r="AH214" s="165"/>
      <c r="AI214" s="151"/>
      <c r="AJ214" s="152"/>
      <c r="AK214" s="91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</row>
    <row r="215" spans="1:87" s="1" customFormat="1" ht="18" customHeight="1">
      <c r="A215" s="515"/>
      <c r="B215" s="235"/>
      <c r="C215" s="236"/>
      <c r="D215" s="237"/>
      <c r="E215" s="238"/>
      <c r="F215" s="239"/>
      <c r="G215" s="240"/>
      <c r="H215" s="236" t="s">
        <v>116</v>
      </c>
      <c r="I215" s="271"/>
      <c r="J215" s="242"/>
      <c r="K215" s="243"/>
      <c r="L215" s="240"/>
      <c r="M215" s="236" t="s">
        <v>116</v>
      </c>
      <c r="N215" s="241"/>
      <c r="O215" s="236"/>
      <c r="P215" s="243"/>
      <c r="Q215" s="240"/>
      <c r="R215" s="236" t="s">
        <v>116</v>
      </c>
      <c r="S215" s="241"/>
      <c r="T215" s="236"/>
      <c r="U215" s="243"/>
      <c r="V215" s="240"/>
      <c r="W215" s="236" t="s">
        <v>116</v>
      </c>
      <c r="X215" s="271"/>
      <c r="Y215" s="242"/>
      <c r="Z215" s="243"/>
      <c r="AA215" s="240"/>
      <c r="AB215" s="236" t="s">
        <v>116</v>
      </c>
      <c r="AC215" s="241"/>
      <c r="AD215" s="236"/>
      <c r="AE215" s="243"/>
      <c r="AF215" s="240"/>
      <c r="AG215" s="236"/>
      <c r="AH215" s="241"/>
      <c r="AI215" s="242"/>
      <c r="AJ215" s="243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</row>
    <row r="216" spans="1:87" s="1" customFormat="1" ht="18" customHeight="1">
      <c r="A216" s="515"/>
      <c r="B216" s="235"/>
      <c r="C216" s="236"/>
      <c r="D216" s="237"/>
      <c r="E216" s="238"/>
      <c r="F216" s="239"/>
      <c r="G216" s="235"/>
      <c r="H216" s="236" t="s">
        <v>117</v>
      </c>
      <c r="I216" s="271"/>
      <c r="J216" s="242"/>
      <c r="K216" s="239"/>
      <c r="L216" s="235"/>
      <c r="M216" s="236" t="s">
        <v>117</v>
      </c>
      <c r="N216" s="241"/>
      <c r="O216" s="236"/>
      <c r="P216" s="239"/>
      <c r="Q216" s="240"/>
      <c r="R216" s="236" t="s">
        <v>117</v>
      </c>
      <c r="S216" s="241"/>
      <c r="T216" s="236"/>
      <c r="U216" s="243"/>
      <c r="V216" s="240"/>
      <c r="W216" s="236" t="s">
        <v>117</v>
      </c>
      <c r="X216" s="271"/>
      <c r="Y216" s="242"/>
      <c r="Z216" s="243"/>
      <c r="AA216" s="240"/>
      <c r="AB216" s="236" t="s">
        <v>117</v>
      </c>
      <c r="AC216" s="241"/>
      <c r="AD216" s="236"/>
      <c r="AE216" s="243"/>
      <c r="AF216" s="240"/>
      <c r="AG216" s="236"/>
      <c r="AH216" s="241"/>
      <c r="AI216" s="242"/>
      <c r="AJ216" s="243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</row>
    <row r="217" spans="1:87" s="1" customFormat="1" ht="18" customHeight="1">
      <c r="A217" s="515"/>
      <c r="B217" s="235"/>
      <c r="C217" s="236"/>
      <c r="D217" s="237"/>
      <c r="E217" s="238"/>
      <c r="F217" s="239"/>
      <c r="G217" s="235"/>
      <c r="H217" s="236" t="s">
        <v>118</v>
      </c>
      <c r="I217" s="271"/>
      <c r="J217" s="242"/>
      <c r="K217" s="239"/>
      <c r="L217" s="235"/>
      <c r="M217" s="236" t="s">
        <v>118</v>
      </c>
      <c r="N217" s="241"/>
      <c r="O217" s="236"/>
      <c r="P217" s="239"/>
      <c r="Q217" s="240"/>
      <c r="R217" s="236" t="s">
        <v>118</v>
      </c>
      <c r="S217" s="241"/>
      <c r="T217" s="236"/>
      <c r="U217" s="243"/>
      <c r="V217" s="240"/>
      <c r="W217" s="236" t="s">
        <v>118</v>
      </c>
      <c r="X217" s="271"/>
      <c r="Y217" s="242"/>
      <c r="Z217" s="243"/>
      <c r="AA217" s="240"/>
      <c r="AB217" s="236" t="s">
        <v>118</v>
      </c>
      <c r="AC217" s="241"/>
      <c r="AD217" s="236"/>
      <c r="AE217" s="243"/>
      <c r="AF217" s="240"/>
      <c r="AG217" s="236"/>
      <c r="AH217" s="241"/>
      <c r="AI217" s="242"/>
      <c r="AJ217" s="243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</row>
    <row r="218" spans="1:87" s="1" customFormat="1" ht="18" customHeight="1" thickBot="1">
      <c r="A218" s="515"/>
      <c r="B218" s="235"/>
      <c r="C218" s="236"/>
      <c r="D218" s="237"/>
      <c r="E218" s="238"/>
      <c r="F218" s="239"/>
      <c r="G218" s="246"/>
      <c r="H218" s="247" t="s">
        <v>119</v>
      </c>
      <c r="I218" s="272"/>
      <c r="J218" s="249"/>
      <c r="K218" s="250"/>
      <c r="L218" s="246"/>
      <c r="M218" s="247" t="s">
        <v>119</v>
      </c>
      <c r="N218" s="248"/>
      <c r="O218" s="247"/>
      <c r="P218" s="250"/>
      <c r="Q218" s="251"/>
      <c r="R218" s="247" t="s">
        <v>119</v>
      </c>
      <c r="S218" s="248"/>
      <c r="T218" s="247"/>
      <c r="U218" s="252"/>
      <c r="V218" s="251"/>
      <c r="W218" s="247" t="s">
        <v>119</v>
      </c>
      <c r="X218" s="272"/>
      <c r="Y218" s="249"/>
      <c r="Z218" s="252"/>
      <c r="AA218" s="251"/>
      <c r="AB218" s="247" t="s">
        <v>119</v>
      </c>
      <c r="AC218" s="248"/>
      <c r="AD218" s="247"/>
      <c r="AE218" s="252"/>
      <c r="AF218" s="251"/>
      <c r="AG218" s="247"/>
      <c r="AH218" s="248"/>
      <c r="AI218" s="249"/>
      <c r="AJ218" s="252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</row>
    <row r="219" spans="1:87" s="1" customFormat="1" ht="18" customHeight="1">
      <c r="A219" s="515"/>
      <c r="B219" s="167"/>
      <c r="C219" s="168"/>
      <c r="D219" s="169"/>
      <c r="E219" s="170"/>
      <c r="F219" s="171"/>
      <c r="G219" s="153"/>
      <c r="H219" s="154"/>
      <c r="I219" s="174"/>
      <c r="J219" s="154"/>
      <c r="K219" s="156"/>
      <c r="L219" s="153" t="s">
        <v>91</v>
      </c>
      <c r="M219" s="154" t="s">
        <v>91</v>
      </c>
      <c r="N219" s="174"/>
      <c r="O219" s="154"/>
      <c r="P219" s="156" t="s">
        <v>10</v>
      </c>
      <c r="Q219" s="153"/>
      <c r="R219" s="154"/>
      <c r="S219" s="155"/>
      <c r="T219" s="151"/>
      <c r="U219" s="152"/>
      <c r="V219" s="153" t="s">
        <v>91</v>
      </c>
      <c r="W219" s="154" t="s">
        <v>91</v>
      </c>
      <c r="X219" s="174"/>
      <c r="Y219" s="154"/>
      <c r="Z219" s="156" t="s">
        <v>10</v>
      </c>
      <c r="AA219" s="153"/>
      <c r="AB219" s="154"/>
      <c r="AC219" s="155"/>
      <c r="AD219" s="154"/>
      <c r="AE219" s="156"/>
      <c r="AF219" s="153"/>
      <c r="AG219" s="154"/>
      <c r="AH219" s="155"/>
      <c r="AI219" s="154"/>
      <c r="AJ219" s="156"/>
      <c r="AK219" s="91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</row>
    <row r="220" spans="1:87" s="1" customFormat="1" ht="18" hidden="1" customHeight="1" thickBot="1">
      <c r="A220" s="515"/>
      <c r="B220" s="167"/>
      <c r="C220" s="168"/>
      <c r="D220" s="169"/>
      <c r="E220" s="170"/>
      <c r="F220" s="171"/>
      <c r="G220" s="153"/>
      <c r="H220" s="154"/>
      <c r="I220" s="174"/>
      <c r="J220" s="154"/>
      <c r="K220" s="156"/>
      <c r="L220" s="153"/>
      <c r="M220" s="154"/>
      <c r="N220" s="174"/>
      <c r="O220" s="154"/>
      <c r="P220" s="156"/>
      <c r="Q220" s="153"/>
      <c r="R220" s="154"/>
      <c r="S220" s="155"/>
      <c r="T220" s="154"/>
      <c r="U220" s="156"/>
      <c r="V220" s="153"/>
      <c r="W220" s="154"/>
      <c r="X220" s="174"/>
      <c r="Y220" s="154"/>
      <c r="Z220" s="156"/>
      <c r="AA220" s="153"/>
      <c r="AB220" s="154"/>
      <c r="AC220" s="155"/>
      <c r="AD220" s="154"/>
      <c r="AE220" s="156"/>
      <c r="AF220" s="153"/>
      <c r="AG220" s="154"/>
      <c r="AH220" s="155"/>
      <c r="AI220" s="154"/>
      <c r="AJ220" s="156"/>
      <c r="AK220" s="91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</row>
    <row r="221" spans="1:87" s="1" customFormat="1" ht="18" hidden="1" customHeight="1">
      <c r="A221" s="515"/>
      <c r="B221" s="167"/>
      <c r="C221" s="168"/>
      <c r="D221" s="169"/>
      <c r="E221" s="170"/>
      <c r="F221" s="171"/>
      <c r="G221" s="153"/>
      <c r="H221" s="154"/>
      <c r="I221" s="174"/>
      <c r="J221" s="154"/>
      <c r="K221" s="156"/>
      <c r="L221" s="153"/>
      <c r="M221" s="154"/>
      <c r="N221" s="174"/>
      <c r="O221" s="154"/>
      <c r="P221" s="156"/>
      <c r="Q221" s="153"/>
      <c r="R221" s="154"/>
      <c r="S221" s="155"/>
      <c r="T221" s="154"/>
      <c r="U221" s="156"/>
      <c r="V221" s="153"/>
      <c r="W221" s="154"/>
      <c r="X221" s="174"/>
      <c r="Y221" s="154"/>
      <c r="Z221" s="156"/>
      <c r="AA221" s="153"/>
      <c r="AB221" s="154"/>
      <c r="AC221" s="155"/>
      <c r="AD221" s="154"/>
      <c r="AE221" s="156"/>
      <c r="AF221" s="153"/>
      <c r="AG221" s="154"/>
      <c r="AH221" s="155"/>
      <c r="AI221" s="154"/>
      <c r="AJ221" s="156"/>
      <c r="AK221" s="9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</row>
    <row r="222" spans="1:87" s="1" customFormat="1" ht="18" hidden="1" customHeight="1">
      <c r="A222" s="515"/>
      <c r="B222" s="167"/>
      <c r="C222" s="168"/>
      <c r="D222" s="169"/>
      <c r="E222" s="170"/>
      <c r="F222" s="171"/>
      <c r="G222" s="153"/>
      <c r="H222" s="154"/>
      <c r="I222" s="174"/>
      <c r="J222" s="154"/>
      <c r="K222" s="156"/>
      <c r="L222" s="153"/>
      <c r="M222" s="154"/>
      <c r="N222" s="174"/>
      <c r="O222" s="154"/>
      <c r="P222" s="156"/>
      <c r="Q222" s="153"/>
      <c r="R222" s="154"/>
      <c r="S222" s="155"/>
      <c r="T222" s="154"/>
      <c r="U222" s="156"/>
      <c r="V222" s="153"/>
      <c r="W222" s="154"/>
      <c r="X222" s="174"/>
      <c r="Y222" s="154"/>
      <c r="Z222" s="156"/>
      <c r="AA222" s="153"/>
      <c r="AB222" s="154"/>
      <c r="AC222" s="155"/>
      <c r="AD222" s="154"/>
      <c r="AE222" s="156"/>
      <c r="AF222" s="153"/>
      <c r="AG222" s="154"/>
      <c r="AH222" s="155"/>
      <c r="AI222" s="154"/>
      <c r="AJ222" s="156"/>
      <c r="AK222" s="91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</row>
    <row r="223" spans="1:87" s="1" customFormat="1" ht="18" hidden="1" customHeight="1">
      <c r="A223" s="515"/>
      <c r="B223" s="167"/>
      <c r="C223" s="168"/>
      <c r="D223" s="169"/>
      <c r="E223" s="170"/>
      <c r="F223" s="171"/>
      <c r="G223" s="153"/>
      <c r="H223" s="154"/>
      <c r="I223" s="174"/>
      <c r="J223" s="154"/>
      <c r="K223" s="156"/>
      <c r="L223" s="153"/>
      <c r="M223" s="154"/>
      <c r="N223" s="174"/>
      <c r="O223" s="154"/>
      <c r="P223" s="156"/>
      <c r="Q223" s="153"/>
      <c r="R223" s="154"/>
      <c r="S223" s="155"/>
      <c r="T223" s="154"/>
      <c r="U223" s="156"/>
      <c r="V223" s="153"/>
      <c r="W223" s="154"/>
      <c r="X223" s="174"/>
      <c r="Y223" s="154"/>
      <c r="Z223" s="156"/>
      <c r="AA223" s="153"/>
      <c r="AB223" s="154"/>
      <c r="AC223" s="155"/>
      <c r="AD223" s="154"/>
      <c r="AE223" s="156"/>
      <c r="AF223" s="153"/>
      <c r="AG223" s="154"/>
      <c r="AH223" s="155"/>
      <c r="AI223" s="154"/>
      <c r="AJ223" s="156"/>
      <c r="AK223" s="91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</row>
    <row r="224" spans="1:87" s="1" customFormat="1" ht="18" hidden="1" customHeight="1">
      <c r="A224" s="515"/>
      <c r="B224" s="167"/>
      <c r="C224" s="168"/>
      <c r="D224" s="169"/>
      <c r="E224" s="170"/>
      <c r="F224" s="171"/>
      <c r="G224" s="153"/>
      <c r="H224" s="154"/>
      <c r="I224" s="174"/>
      <c r="J224" s="154"/>
      <c r="K224" s="156"/>
      <c r="L224" s="153"/>
      <c r="M224" s="154"/>
      <c r="N224" s="174"/>
      <c r="O224" s="154"/>
      <c r="P224" s="156"/>
      <c r="Q224" s="153"/>
      <c r="R224" s="154"/>
      <c r="S224" s="155"/>
      <c r="T224" s="154"/>
      <c r="U224" s="156"/>
      <c r="V224" s="153"/>
      <c r="W224" s="154"/>
      <c r="X224" s="174"/>
      <c r="Y224" s="154"/>
      <c r="Z224" s="156"/>
      <c r="AA224" s="153"/>
      <c r="AB224" s="154"/>
      <c r="AC224" s="155"/>
      <c r="AD224" s="154"/>
      <c r="AE224" s="156"/>
      <c r="AF224" s="153"/>
      <c r="AG224" s="154"/>
      <c r="AH224" s="155"/>
      <c r="AI224" s="154"/>
      <c r="AJ224" s="156"/>
      <c r="AK224" s="91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</row>
    <row r="225" spans="1:87" s="1" customFormat="1" ht="18" hidden="1" customHeight="1">
      <c r="A225" s="515"/>
      <c r="B225" s="167"/>
      <c r="C225" s="168"/>
      <c r="D225" s="169"/>
      <c r="E225" s="170"/>
      <c r="F225" s="171"/>
      <c r="G225" s="153"/>
      <c r="H225" s="154"/>
      <c r="I225" s="174"/>
      <c r="J225" s="154"/>
      <c r="K225" s="156"/>
      <c r="L225" s="153"/>
      <c r="M225" s="154"/>
      <c r="N225" s="174"/>
      <c r="O225" s="154"/>
      <c r="P225" s="156"/>
      <c r="Q225" s="153"/>
      <c r="R225" s="154"/>
      <c r="S225" s="155"/>
      <c r="T225" s="154"/>
      <c r="U225" s="156"/>
      <c r="V225" s="153"/>
      <c r="W225" s="154"/>
      <c r="X225" s="174"/>
      <c r="Y225" s="154"/>
      <c r="Z225" s="156"/>
      <c r="AA225" s="153"/>
      <c r="AB225" s="154"/>
      <c r="AC225" s="155"/>
      <c r="AD225" s="154"/>
      <c r="AE225" s="156"/>
      <c r="AF225" s="153"/>
      <c r="AG225" s="154"/>
      <c r="AH225" s="155"/>
      <c r="AI225" s="154"/>
      <c r="AJ225" s="156"/>
      <c r="AK225" s="91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</row>
    <row r="226" spans="1:87" s="1" customFormat="1" ht="18" hidden="1" customHeight="1">
      <c r="A226" s="515"/>
      <c r="B226" s="167"/>
      <c r="C226" s="168"/>
      <c r="D226" s="169"/>
      <c r="E226" s="170"/>
      <c r="F226" s="171"/>
      <c r="G226" s="153"/>
      <c r="H226" s="154"/>
      <c r="I226" s="174"/>
      <c r="J226" s="154"/>
      <c r="K226" s="156"/>
      <c r="L226" s="153"/>
      <c r="M226" s="154"/>
      <c r="N226" s="174"/>
      <c r="O226" s="154"/>
      <c r="P226" s="156"/>
      <c r="Q226" s="153"/>
      <c r="R226" s="154"/>
      <c r="S226" s="155"/>
      <c r="T226" s="154"/>
      <c r="U226" s="156"/>
      <c r="V226" s="153"/>
      <c r="W226" s="154"/>
      <c r="X226" s="174"/>
      <c r="Y226" s="154"/>
      <c r="Z226" s="156"/>
      <c r="AA226" s="153"/>
      <c r="AB226" s="154"/>
      <c r="AC226" s="155"/>
      <c r="AD226" s="154"/>
      <c r="AE226" s="156"/>
      <c r="AF226" s="153"/>
      <c r="AG226" s="154"/>
      <c r="AH226" s="155"/>
      <c r="AI226" s="154"/>
      <c r="AJ226" s="156"/>
      <c r="AK226" s="91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</row>
    <row r="227" spans="1:87" s="1" customFormat="1" ht="18" hidden="1" customHeight="1">
      <c r="A227" s="515"/>
      <c r="B227" s="167"/>
      <c r="C227" s="168"/>
      <c r="D227" s="169"/>
      <c r="E227" s="170"/>
      <c r="F227" s="171"/>
      <c r="G227" s="153"/>
      <c r="H227" s="154"/>
      <c r="I227" s="174"/>
      <c r="J227" s="154"/>
      <c r="K227" s="156"/>
      <c r="L227" s="153"/>
      <c r="M227" s="154"/>
      <c r="N227" s="174"/>
      <c r="O227" s="154"/>
      <c r="P227" s="156"/>
      <c r="Q227" s="153"/>
      <c r="R227" s="154"/>
      <c r="S227" s="155"/>
      <c r="T227" s="154"/>
      <c r="U227" s="156"/>
      <c r="V227" s="153"/>
      <c r="W227" s="154"/>
      <c r="X227" s="174"/>
      <c r="Y227" s="154"/>
      <c r="Z227" s="156"/>
      <c r="AA227" s="153"/>
      <c r="AB227" s="154"/>
      <c r="AC227" s="155"/>
      <c r="AD227" s="154"/>
      <c r="AE227" s="156"/>
      <c r="AF227" s="153"/>
      <c r="AG227" s="154"/>
      <c r="AH227" s="155"/>
      <c r="AI227" s="154"/>
      <c r="AJ227" s="156"/>
      <c r="AK227" s="91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</row>
    <row r="228" spans="1:87" s="1" customFormat="1" ht="18" hidden="1" customHeight="1">
      <c r="A228" s="515"/>
      <c r="B228" s="167"/>
      <c r="C228" s="168"/>
      <c r="D228" s="169"/>
      <c r="E228" s="170"/>
      <c r="F228" s="171"/>
      <c r="G228" s="153"/>
      <c r="H228" s="154"/>
      <c r="I228" s="174"/>
      <c r="J228" s="154"/>
      <c r="K228" s="156"/>
      <c r="L228" s="153"/>
      <c r="M228" s="154"/>
      <c r="N228" s="174"/>
      <c r="O228" s="154"/>
      <c r="P228" s="156"/>
      <c r="Q228" s="153"/>
      <c r="R228" s="154"/>
      <c r="S228" s="155"/>
      <c r="T228" s="154"/>
      <c r="U228" s="156"/>
      <c r="V228" s="153"/>
      <c r="W228" s="154"/>
      <c r="X228" s="174"/>
      <c r="Y228" s="154"/>
      <c r="Z228" s="156"/>
      <c r="AA228" s="153"/>
      <c r="AB228" s="154"/>
      <c r="AC228" s="155"/>
      <c r="AD228" s="154"/>
      <c r="AE228" s="156"/>
      <c r="AF228" s="153"/>
      <c r="AG228" s="154"/>
      <c r="AH228" s="155"/>
      <c r="AI228" s="154"/>
      <c r="AJ228" s="156"/>
      <c r="AK228" s="91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</row>
    <row r="229" spans="1:87" s="1" customFormat="1" ht="18" hidden="1" customHeight="1">
      <c r="A229" s="515"/>
      <c r="B229" s="167"/>
      <c r="C229" s="168"/>
      <c r="D229" s="169"/>
      <c r="E229" s="170"/>
      <c r="F229" s="171"/>
      <c r="G229" s="153"/>
      <c r="H229" s="154"/>
      <c r="I229" s="174"/>
      <c r="J229" s="154"/>
      <c r="K229" s="156"/>
      <c r="L229" s="153"/>
      <c r="M229" s="154"/>
      <c r="N229" s="174"/>
      <c r="O229" s="154"/>
      <c r="P229" s="156"/>
      <c r="Q229" s="153"/>
      <c r="R229" s="154"/>
      <c r="S229" s="155"/>
      <c r="T229" s="154"/>
      <c r="U229" s="156"/>
      <c r="V229" s="153"/>
      <c r="W229" s="154"/>
      <c r="X229" s="174"/>
      <c r="Y229" s="154"/>
      <c r="Z229" s="156"/>
      <c r="AA229" s="153"/>
      <c r="AB229" s="154"/>
      <c r="AC229" s="155"/>
      <c r="AD229" s="154"/>
      <c r="AE229" s="156"/>
      <c r="AF229" s="153"/>
      <c r="AG229" s="154"/>
      <c r="AH229" s="155"/>
      <c r="AI229" s="154"/>
      <c r="AJ229" s="156"/>
      <c r="AK229" s="91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</row>
    <row r="230" spans="1:87" s="1" customFormat="1" ht="18" hidden="1" customHeight="1">
      <c r="A230" s="515"/>
      <c r="B230" s="167"/>
      <c r="C230" s="168"/>
      <c r="D230" s="169"/>
      <c r="E230" s="170"/>
      <c r="F230" s="171"/>
      <c r="G230" s="153"/>
      <c r="H230" s="154"/>
      <c r="I230" s="174"/>
      <c r="J230" s="154"/>
      <c r="K230" s="156"/>
      <c r="L230" s="153"/>
      <c r="M230" s="154"/>
      <c r="N230" s="174"/>
      <c r="O230" s="154"/>
      <c r="P230" s="156"/>
      <c r="Q230" s="153"/>
      <c r="R230" s="154"/>
      <c r="S230" s="155"/>
      <c r="T230" s="154"/>
      <c r="U230" s="156"/>
      <c r="V230" s="153"/>
      <c r="W230" s="154"/>
      <c r="X230" s="174"/>
      <c r="Y230" s="154"/>
      <c r="Z230" s="156"/>
      <c r="AA230" s="153"/>
      <c r="AB230" s="154"/>
      <c r="AC230" s="155"/>
      <c r="AD230" s="154"/>
      <c r="AE230" s="156"/>
      <c r="AF230" s="153"/>
      <c r="AG230" s="154"/>
      <c r="AH230" s="155"/>
      <c r="AI230" s="154"/>
      <c r="AJ230" s="156"/>
      <c r="AK230" s="91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</row>
    <row r="231" spans="1:87" s="1" customFormat="1" ht="18" hidden="1" customHeight="1">
      <c r="A231" s="515"/>
      <c r="B231" s="167"/>
      <c r="C231" s="168"/>
      <c r="D231" s="169"/>
      <c r="E231" s="170"/>
      <c r="F231" s="171"/>
      <c r="G231" s="153"/>
      <c r="H231" s="154"/>
      <c r="I231" s="174"/>
      <c r="J231" s="154"/>
      <c r="K231" s="156"/>
      <c r="L231" s="153"/>
      <c r="M231" s="154"/>
      <c r="N231" s="174"/>
      <c r="O231" s="154"/>
      <c r="P231" s="156"/>
      <c r="Q231" s="153"/>
      <c r="R231" s="154"/>
      <c r="S231" s="155"/>
      <c r="T231" s="154"/>
      <c r="U231" s="156"/>
      <c r="V231" s="153"/>
      <c r="W231" s="154"/>
      <c r="X231" s="174"/>
      <c r="Y231" s="154"/>
      <c r="Z231" s="156"/>
      <c r="AA231" s="153"/>
      <c r="AB231" s="154"/>
      <c r="AC231" s="155"/>
      <c r="AD231" s="154"/>
      <c r="AE231" s="156"/>
      <c r="AF231" s="153"/>
      <c r="AG231" s="154"/>
      <c r="AH231" s="155"/>
      <c r="AI231" s="154"/>
      <c r="AJ231" s="156"/>
      <c r="AK231" s="9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</row>
    <row r="232" spans="1:87" s="1" customFormat="1" ht="18" hidden="1" customHeight="1">
      <c r="A232" s="515"/>
      <c r="B232" s="175"/>
      <c r="C232" s="176"/>
      <c r="D232" s="177"/>
      <c r="E232" s="177"/>
      <c r="F232" s="178"/>
      <c r="G232" s="179"/>
      <c r="H232" s="180"/>
      <c r="I232" s="181"/>
      <c r="J232" s="180"/>
      <c r="K232" s="182"/>
      <c r="L232" s="179"/>
      <c r="M232" s="180"/>
      <c r="N232" s="181"/>
      <c r="O232" s="180"/>
      <c r="P232" s="182"/>
      <c r="Q232" s="179"/>
      <c r="R232" s="180"/>
      <c r="S232" s="180"/>
      <c r="T232" s="180"/>
      <c r="U232" s="182"/>
      <c r="V232" s="179"/>
      <c r="W232" s="180"/>
      <c r="X232" s="181"/>
      <c r="Y232" s="180"/>
      <c r="Z232" s="182"/>
      <c r="AA232" s="179"/>
      <c r="AB232" s="180"/>
      <c r="AC232" s="180"/>
      <c r="AD232" s="180"/>
      <c r="AE232" s="182"/>
      <c r="AF232" s="179"/>
      <c r="AG232" s="180"/>
      <c r="AH232" s="180"/>
      <c r="AI232" s="180"/>
      <c r="AJ232" s="182"/>
      <c r="AK232" s="91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</row>
    <row r="233" spans="1:87" s="1" customFormat="1" ht="18" hidden="1" customHeight="1">
      <c r="A233" s="516"/>
      <c r="B233" s="517" t="s">
        <v>9</v>
      </c>
      <c r="C233" s="518"/>
      <c r="D233" s="519"/>
      <c r="E233" s="518"/>
      <c r="F233" s="32" t="s">
        <v>10</v>
      </c>
      <c r="G233" s="520"/>
      <c r="H233" s="521"/>
      <c r="I233" s="522"/>
      <c r="J233" s="521"/>
      <c r="K233" s="183"/>
      <c r="L233" s="520"/>
      <c r="M233" s="521"/>
      <c r="N233" s="522"/>
      <c r="O233" s="521"/>
      <c r="P233" s="183"/>
      <c r="Q233" s="520"/>
      <c r="R233" s="521"/>
      <c r="S233" s="522"/>
      <c r="T233" s="521"/>
      <c r="U233" s="183"/>
      <c r="V233" s="520"/>
      <c r="W233" s="521"/>
      <c r="X233" s="522"/>
      <c r="Y233" s="521"/>
      <c r="Z233" s="183"/>
      <c r="AA233" s="520"/>
      <c r="AB233" s="521"/>
      <c r="AC233" s="522"/>
      <c r="AD233" s="521"/>
      <c r="AE233" s="183"/>
      <c r="AF233" s="520"/>
      <c r="AG233" s="521"/>
      <c r="AH233" s="522"/>
      <c r="AI233" s="521"/>
      <c r="AJ233" s="183"/>
      <c r="AK233" s="91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</row>
    <row r="234" spans="1:87" s="1" customFormat="1" ht="18" hidden="1" customHeight="1">
      <c r="A234" s="514" t="s">
        <v>60</v>
      </c>
      <c r="B234" s="159"/>
      <c r="C234" s="160"/>
      <c r="D234" s="161"/>
      <c r="E234" s="162"/>
      <c r="F234" s="163"/>
      <c r="G234" s="148"/>
      <c r="H234" s="149"/>
      <c r="I234" s="218"/>
      <c r="J234" s="149"/>
      <c r="K234" s="166"/>
      <c r="L234" s="148"/>
      <c r="M234" s="149"/>
      <c r="N234" s="218"/>
      <c r="O234" s="149"/>
      <c r="P234" s="166"/>
      <c r="Q234" s="148"/>
      <c r="R234" s="149"/>
      <c r="S234" s="150"/>
      <c r="T234" s="149"/>
      <c r="U234" s="166"/>
      <c r="V234" s="148"/>
      <c r="W234" s="149"/>
      <c r="X234" s="218"/>
      <c r="Y234" s="149"/>
      <c r="Z234" s="166"/>
      <c r="AA234" s="148"/>
      <c r="AB234" s="149"/>
      <c r="AC234" s="150"/>
      <c r="AD234" s="149"/>
      <c r="AE234" s="166"/>
      <c r="AF234" s="148"/>
      <c r="AG234" s="149"/>
      <c r="AH234" s="150"/>
      <c r="AI234" s="149"/>
      <c r="AJ234" s="166"/>
      <c r="AK234" s="91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</row>
    <row r="235" spans="1:87" s="1" customFormat="1" ht="18" hidden="1" customHeight="1">
      <c r="A235" s="515"/>
      <c r="B235" s="167"/>
      <c r="C235" s="168"/>
      <c r="D235" s="169"/>
      <c r="E235" s="170"/>
      <c r="F235" s="171"/>
      <c r="G235" s="153"/>
      <c r="H235" s="154"/>
      <c r="I235" s="174"/>
      <c r="J235" s="154"/>
      <c r="K235" s="156"/>
      <c r="L235" s="153"/>
      <c r="M235" s="154"/>
      <c r="N235" s="174"/>
      <c r="O235" s="154"/>
      <c r="P235" s="156"/>
      <c r="Q235" s="153"/>
      <c r="R235" s="154"/>
      <c r="S235" s="155"/>
      <c r="T235" s="154"/>
      <c r="U235" s="156"/>
      <c r="V235" s="153"/>
      <c r="W235" s="154"/>
      <c r="X235" s="174"/>
      <c r="Y235" s="154"/>
      <c r="Z235" s="156"/>
      <c r="AA235" s="153"/>
      <c r="AB235" s="154"/>
      <c r="AC235" s="155"/>
      <c r="AD235" s="154"/>
      <c r="AE235" s="156"/>
      <c r="AF235" s="153"/>
      <c r="AG235" s="154"/>
      <c r="AH235" s="155"/>
      <c r="AI235" s="154"/>
      <c r="AJ235" s="156"/>
      <c r="AK235" s="91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</row>
    <row r="236" spans="1:87" s="1" customFormat="1" ht="18" hidden="1" customHeight="1">
      <c r="A236" s="515"/>
      <c r="B236" s="167"/>
      <c r="C236" s="168"/>
      <c r="D236" s="169"/>
      <c r="E236" s="170"/>
      <c r="F236" s="171"/>
      <c r="G236" s="153"/>
      <c r="H236" s="154"/>
      <c r="I236" s="174"/>
      <c r="J236" s="154"/>
      <c r="K236" s="156"/>
      <c r="L236" s="153"/>
      <c r="M236" s="154"/>
      <c r="N236" s="174"/>
      <c r="O236" s="154"/>
      <c r="P236" s="156"/>
      <c r="Q236" s="153"/>
      <c r="R236" s="154"/>
      <c r="S236" s="155"/>
      <c r="T236" s="154"/>
      <c r="U236" s="156"/>
      <c r="V236" s="153"/>
      <c r="W236" s="154"/>
      <c r="X236" s="174"/>
      <c r="Y236" s="154"/>
      <c r="Z236" s="156"/>
      <c r="AA236" s="153"/>
      <c r="AB236" s="154"/>
      <c r="AC236" s="155"/>
      <c r="AD236" s="154"/>
      <c r="AE236" s="156"/>
      <c r="AF236" s="153"/>
      <c r="AG236" s="154"/>
      <c r="AH236" s="155"/>
      <c r="AI236" s="154"/>
      <c r="AJ236" s="156"/>
      <c r="AK236" s="91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</row>
    <row r="237" spans="1:87" s="1" customFormat="1" ht="18" hidden="1" customHeight="1">
      <c r="A237" s="515"/>
      <c r="B237" s="167"/>
      <c r="C237" s="168"/>
      <c r="D237" s="169"/>
      <c r="E237" s="170"/>
      <c r="F237" s="171"/>
      <c r="G237" s="153"/>
      <c r="H237" s="154"/>
      <c r="I237" s="174"/>
      <c r="J237" s="154"/>
      <c r="K237" s="156"/>
      <c r="L237" s="153"/>
      <c r="M237" s="154"/>
      <c r="N237" s="174"/>
      <c r="O237" s="154"/>
      <c r="P237" s="156"/>
      <c r="Q237" s="153"/>
      <c r="R237" s="154"/>
      <c r="S237" s="155"/>
      <c r="T237" s="154"/>
      <c r="U237" s="156"/>
      <c r="V237" s="153"/>
      <c r="W237" s="154"/>
      <c r="X237" s="174"/>
      <c r="Y237" s="154"/>
      <c r="Z237" s="156"/>
      <c r="AA237" s="153"/>
      <c r="AB237" s="154"/>
      <c r="AC237" s="155"/>
      <c r="AD237" s="154"/>
      <c r="AE237" s="156"/>
      <c r="AF237" s="153"/>
      <c r="AG237" s="154"/>
      <c r="AH237" s="155"/>
      <c r="AI237" s="154"/>
      <c r="AJ237" s="156"/>
      <c r="AK237" s="91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</row>
    <row r="238" spans="1:87" s="1" customFormat="1" ht="18" hidden="1" customHeight="1">
      <c r="A238" s="515"/>
      <c r="B238" s="167"/>
      <c r="C238" s="168"/>
      <c r="D238" s="169"/>
      <c r="E238" s="170"/>
      <c r="F238" s="171"/>
      <c r="G238" s="153"/>
      <c r="H238" s="154"/>
      <c r="I238" s="174"/>
      <c r="J238" s="154"/>
      <c r="K238" s="156"/>
      <c r="L238" s="153"/>
      <c r="M238" s="154"/>
      <c r="N238" s="174"/>
      <c r="O238" s="154"/>
      <c r="P238" s="156"/>
      <c r="Q238" s="153"/>
      <c r="R238" s="154"/>
      <c r="S238" s="155"/>
      <c r="T238" s="154"/>
      <c r="U238" s="156"/>
      <c r="V238" s="153"/>
      <c r="W238" s="154"/>
      <c r="X238" s="174"/>
      <c r="Y238" s="154"/>
      <c r="Z238" s="156"/>
      <c r="AA238" s="153"/>
      <c r="AB238" s="154"/>
      <c r="AC238" s="155"/>
      <c r="AD238" s="154"/>
      <c r="AE238" s="156"/>
      <c r="AF238" s="153"/>
      <c r="AG238" s="154"/>
      <c r="AH238" s="155"/>
      <c r="AI238" s="154"/>
      <c r="AJ238" s="156"/>
      <c r="AK238" s="91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</row>
    <row r="239" spans="1:87" s="1" customFormat="1" ht="18" hidden="1" customHeight="1">
      <c r="A239" s="515"/>
      <c r="B239" s="167"/>
      <c r="C239" s="168"/>
      <c r="D239" s="169"/>
      <c r="E239" s="170"/>
      <c r="F239" s="171"/>
      <c r="G239" s="153"/>
      <c r="H239" s="154"/>
      <c r="I239" s="174"/>
      <c r="J239" s="154"/>
      <c r="K239" s="156"/>
      <c r="L239" s="153"/>
      <c r="M239" s="154"/>
      <c r="N239" s="174"/>
      <c r="O239" s="154"/>
      <c r="P239" s="156"/>
      <c r="Q239" s="153"/>
      <c r="R239" s="154"/>
      <c r="S239" s="155"/>
      <c r="T239" s="154"/>
      <c r="U239" s="156"/>
      <c r="V239" s="153"/>
      <c r="W239" s="154"/>
      <c r="X239" s="174"/>
      <c r="Y239" s="154"/>
      <c r="Z239" s="156"/>
      <c r="AA239" s="153"/>
      <c r="AB239" s="154"/>
      <c r="AC239" s="155"/>
      <c r="AD239" s="154"/>
      <c r="AE239" s="156"/>
      <c r="AF239" s="153"/>
      <c r="AG239" s="154"/>
      <c r="AH239" s="155"/>
      <c r="AI239" s="154"/>
      <c r="AJ239" s="156"/>
      <c r="AK239" s="91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</row>
    <row r="240" spans="1:87" s="1" customFormat="1" ht="18" hidden="1" customHeight="1">
      <c r="A240" s="515"/>
      <c r="B240" s="167"/>
      <c r="C240" s="168"/>
      <c r="D240" s="169"/>
      <c r="E240" s="170"/>
      <c r="F240" s="171"/>
      <c r="G240" s="153"/>
      <c r="H240" s="154"/>
      <c r="I240" s="174"/>
      <c r="J240" s="154"/>
      <c r="K240" s="156"/>
      <c r="L240" s="153"/>
      <c r="M240" s="154"/>
      <c r="N240" s="174"/>
      <c r="O240" s="154"/>
      <c r="P240" s="156"/>
      <c r="Q240" s="153"/>
      <c r="R240" s="154"/>
      <c r="S240" s="155"/>
      <c r="T240" s="154"/>
      <c r="U240" s="156"/>
      <c r="V240" s="153"/>
      <c r="W240" s="154"/>
      <c r="X240" s="174"/>
      <c r="Y240" s="154"/>
      <c r="Z240" s="156"/>
      <c r="AA240" s="153"/>
      <c r="AB240" s="154"/>
      <c r="AC240" s="155"/>
      <c r="AD240" s="154"/>
      <c r="AE240" s="156"/>
      <c r="AF240" s="153"/>
      <c r="AG240" s="154"/>
      <c r="AH240" s="155"/>
      <c r="AI240" s="154"/>
      <c r="AJ240" s="156"/>
      <c r="AK240" s="91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</row>
    <row r="241" spans="1:87" ht="18.75" hidden="1" customHeight="1">
      <c r="A241" s="515"/>
      <c r="B241" s="167"/>
      <c r="C241" s="168"/>
      <c r="D241" s="169"/>
      <c r="E241" s="170"/>
      <c r="F241" s="171"/>
      <c r="G241" s="153"/>
      <c r="H241" s="154"/>
      <c r="I241" s="174"/>
      <c r="J241" s="154"/>
      <c r="K241" s="156"/>
      <c r="L241" s="153"/>
      <c r="M241" s="154"/>
      <c r="N241" s="174"/>
      <c r="O241" s="154"/>
      <c r="P241" s="156"/>
      <c r="Q241" s="153"/>
      <c r="R241" s="154"/>
      <c r="S241" s="155"/>
      <c r="T241" s="154"/>
      <c r="U241" s="156"/>
      <c r="V241" s="153"/>
      <c r="W241" s="154"/>
      <c r="X241" s="174"/>
      <c r="Y241" s="154"/>
      <c r="Z241" s="156"/>
      <c r="AA241" s="153"/>
      <c r="AB241" s="154"/>
      <c r="AC241" s="155"/>
      <c r="AD241" s="154"/>
      <c r="AE241" s="156"/>
      <c r="AF241" s="153"/>
      <c r="AG241" s="154"/>
      <c r="AH241" s="155"/>
      <c r="AI241" s="154"/>
      <c r="AJ241" s="156"/>
      <c r="AK241" s="7"/>
    </row>
    <row r="242" spans="1:87" ht="18.75" hidden="1" customHeight="1">
      <c r="A242" s="515"/>
      <c r="B242" s="167"/>
      <c r="C242" s="168"/>
      <c r="D242" s="169"/>
      <c r="E242" s="170"/>
      <c r="F242" s="171"/>
      <c r="G242" s="153"/>
      <c r="H242" s="154"/>
      <c r="I242" s="174"/>
      <c r="J242" s="154"/>
      <c r="K242" s="156"/>
      <c r="L242" s="153"/>
      <c r="M242" s="154"/>
      <c r="N242" s="174"/>
      <c r="O242" s="154"/>
      <c r="P242" s="156"/>
      <c r="Q242" s="153"/>
      <c r="R242" s="154"/>
      <c r="S242" s="155"/>
      <c r="T242" s="154"/>
      <c r="U242" s="156"/>
      <c r="V242" s="153"/>
      <c r="W242" s="154"/>
      <c r="X242" s="174"/>
      <c r="Y242" s="154"/>
      <c r="Z242" s="156"/>
      <c r="AA242" s="153"/>
      <c r="AB242" s="154"/>
      <c r="AC242" s="155"/>
      <c r="AD242" s="154"/>
      <c r="AE242" s="156"/>
      <c r="AF242" s="153"/>
      <c r="AG242" s="154"/>
      <c r="AH242" s="155"/>
      <c r="AI242" s="154"/>
      <c r="AJ242" s="156"/>
      <c r="AK242" s="7"/>
    </row>
    <row r="243" spans="1:87" ht="18.75" hidden="1" customHeight="1">
      <c r="A243" s="515"/>
      <c r="B243" s="167"/>
      <c r="C243" s="168"/>
      <c r="D243" s="169"/>
      <c r="E243" s="170"/>
      <c r="F243" s="171"/>
      <c r="G243" s="153"/>
      <c r="H243" s="154"/>
      <c r="I243" s="174"/>
      <c r="J243" s="154"/>
      <c r="K243" s="156"/>
      <c r="L243" s="153"/>
      <c r="M243" s="154"/>
      <c r="N243" s="174"/>
      <c r="O243" s="154"/>
      <c r="P243" s="156"/>
      <c r="Q243" s="153"/>
      <c r="R243" s="154"/>
      <c r="S243" s="155"/>
      <c r="T243" s="154"/>
      <c r="U243" s="156"/>
      <c r="V243" s="153"/>
      <c r="W243" s="154"/>
      <c r="X243" s="174"/>
      <c r="Y243" s="154"/>
      <c r="Z243" s="156"/>
      <c r="AA243" s="153"/>
      <c r="AB243" s="154"/>
      <c r="AC243" s="155"/>
      <c r="AD243" s="154"/>
      <c r="AE243" s="156"/>
      <c r="AF243" s="153"/>
      <c r="AG243" s="154"/>
      <c r="AH243" s="155"/>
      <c r="AI243" s="154"/>
      <c r="AJ243" s="156"/>
      <c r="AK243" s="7"/>
    </row>
    <row r="244" spans="1:87" ht="18.75" hidden="1" customHeight="1">
      <c r="A244" s="515"/>
      <c r="B244" s="167"/>
      <c r="C244" s="168"/>
      <c r="D244" s="169"/>
      <c r="E244" s="170"/>
      <c r="F244" s="171"/>
      <c r="G244" s="153"/>
      <c r="H244" s="154"/>
      <c r="I244" s="174"/>
      <c r="J244" s="154"/>
      <c r="K244" s="156"/>
      <c r="L244" s="153"/>
      <c r="M244" s="154"/>
      <c r="N244" s="174"/>
      <c r="O244" s="154"/>
      <c r="P244" s="156"/>
      <c r="Q244" s="153"/>
      <c r="R244" s="154"/>
      <c r="S244" s="155"/>
      <c r="T244" s="154"/>
      <c r="U244" s="156"/>
      <c r="V244" s="153"/>
      <c r="W244" s="154"/>
      <c r="X244" s="174"/>
      <c r="Y244" s="154"/>
      <c r="Z244" s="156"/>
      <c r="AA244" s="153"/>
      <c r="AB244" s="154"/>
      <c r="AC244" s="155"/>
      <c r="AD244" s="154"/>
      <c r="AE244" s="156"/>
      <c r="AF244" s="153"/>
      <c r="AG244" s="154"/>
      <c r="AH244" s="155"/>
      <c r="AI244" s="154"/>
      <c r="AJ244" s="156"/>
      <c r="AK244" s="7"/>
    </row>
    <row r="245" spans="1:87" ht="18.75" hidden="1" customHeight="1">
      <c r="A245" s="515"/>
      <c r="B245" s="167"/>
      <c r="C245" s="168"/>
      <c r="D245" s="169"/>
      <c r="E245" s="170"/>
      <c r="F245" s="171"/>
      <c r="G245" s="153"/>
      <c r="H245" s="154"/>
      <c r="I245" s="174"/>
      <c r="J245" s="154"/>
      <c r="K245" s="156"/>
      <c r="L245" s="153"/>
      <c r="M245" s="154"/>
      <c r="N245" s="174"/>
      <c r="O245" s="154"/>
      <c r="P245" s="156"/>
      <c r="Q245" s="153"/>
      <c r="R245" s="154"/>
      <c r="S245" s="155"/>
      <c r="T245" s="154"/>
      <c r="U245" s="156"/>
      <c r="V245" s="153"/>
      <c r="W245" s="154"/>
      <c r="X245" s="174"/>
      <c r="Y245" s="154"/>
      <c r="Z245" s="156"/>
      <c r="AA245" s="153"/>
      <c r="AB245" s="154"/>
      <c r="AC245" s="155"/>
      <c r="AD245" s="154"/>
      <c r="AE245" s="156"/>
      <c r="AF245" s="153"/>
      <c r="AG245" s="154"/>
      <c r="AH245" s="155"/>
      <c r="AI245" s="154"/>
      <c r="AJ245" s="156"/>
      <c r="AK245" s="7"/>
    </row>
    <row r="246" spans="1:87" ht="18.75" hidden="1" customHeight="1">
      <c r="A246" s="515"/>
      <c r="B246" s="167"/>
      <c r="C246" s="168"/>
      <c r="D246" s="169"/>
      <c r="E246" s="170"/>
      <c r="F246" s="171"/>
      <c r="G246" s="153"/>
      <c r="H246" s="154"/>
      <c r="I246" s="174"/>
      <c r="J246" s="154"/>
      <c r="K246" s="156"/>
      <c r="L246" s="153"/>
      <c r="M246" s="154"/>
      <c r="N246" s="174"/>
      <c r="O246" s="154"/>
      <c r="P246" s="156"/>
      <c r="Q246" s="153"/>
      <c r="R246" s="154"/>
      <c r="S246" s="155"/>
      <c r="T246" s="154"/>
      <c r="U246" s="156"/>
      <c r="V246" s="153"/>
      <c r="W246" s="154"/>
      <c r="X246" s="174"/>
      <c r="Y246" s="154"/>
      <c r="Z246" s="156"/>
      <c r="AA246" s="153"/>
      <c r="AB246" s="154"/>
      <c r="AC246" s="155"/>
      <c r="AD246" s="154"/>
      <c r="AE246" s="156"/>
      <c r="AF246" s="153"/>
      <c r="AG246" s="154"/>
      <c r="AH246" s="155"/>
      <c r="AI246" s="154"/>
      <c r="AJ246" s="156"/>
      <c r="AK246" s="7"/>
    </row>
    <row r="247" spans="1:87" ht="18.75" hidden="1" customHeight="1">
      <c r="A247" s="515"/>
      <c r="B247" s="167"/>
      <c r="C247" s="168"/>
      <c r="D247" s="169"/>
      <c r="E247" s="170"/>
      <c r="F247" s="171"/>
      <c r="G247" s="153"/>
      <c r="H247" s="154"/>
      <c r="I247" s="174"/>
      <c r="J247" s="154"/>
      <c r="K247" s="156"/>
      <c r="L247" s="153"/>
      <c r="M247" s="154"/>
      <c r="N247" s="174"/>
      <c r="O247" s="154"/>
      <c r="P247" s="156"/>
      <c r="Q247" s="153"/>
      <c r="R247" s="154"/>
      <c r="S247" s="155"/>
      <c r="T247" s="154"/>
      <c r="U247" s="156"/>
      <c r="V247" s="153"/>
      <c r="W247" s="154"/>
      <c r="X247" s="174"/>
      <c r="Y247" s="154"/>
      <c r="Z247" s="156"/>
      <c r="AA247" s="153"/>
      <c r="AB247" s="154"/>
      <c r="AC247" s="155"/>
      <c r="AD247" s="154"/>
      <c r="AE247" s="156"/>
      <c r="AF247" s="153"/>
      <c r="AG247" s="154"/>
      <c r="AH247" s="155"/>
      <c r="AI247" s="154"/>
      <c r="AJ247" s="156"/>
      <c r="AK247" s="7"/>
    </row>
    <row r="248" spans="1:87" ht="18.75" hidden="1" customHeight="1">
      <c r="A248" s="515"/>
      <c r="B248" s="175"/>
      <c r="C248" s="176"/>
      <c r="D248" s="177"/>
      <c r="E248" s="177"/>
      <c r="F248" s="178"/>
      <c r="G248" s="179"/>
      <c r="H248" s="180"/>
      <c r="I248" s="181"/>
      <c r="J248" s="180"/>
      <c r="K248" s="182"/>
      <c r="L248" s="179"/>
      <c r="M248" s="180"/>
      <c r="N248" s="181"/>
      <c r="O248" s="180"/>
      <c r="P248" s="182"/>
      <c r="Q248" s="179"/>
      <c r="R248" s="180"/>
      <c r="S248" s="180"/>
      <c r="T248" s="180"/>
      <c r="U248" s="182"/>
      <c r="V248" s="179"/>
      <c r="W248" s="180"/>
      <c r="X248" s="181"/>
      <c r="Y248" s="180"/>
      <c r="Z248" s="182"/>
      <c r="AA248" s="179"/>
      <c r="AB248" s="180"/>
      <c r="AC248" s="180"/>
      <c r="AD248" s="180"/>
      <c r="AE248" s="182"/>
      <c r="AF248" s="179"/>
      <c r="AG248" s="180"/>
      <c r="AH248" s="180"/>
      <c r="AI248" s="180"/>
      <c r="AJ248" s="182"/>
      <c r="AK248" s="7"/>
    </row>
    <row r="249" spans="1:87" ht="18.75" hidden="1" customHeight="1">
      <c r="A249" s="516"/>
      <c r="B249" s="517" t="s">
        <v>9</v>
      </c>
      <c r="C249" s="518"/>
      <c r="D249" s="519"/>
      <c r="E249" s="518"/>
      <c r="F249" s="32" t="s">
        <v>10</v>
      </c>
      <c r="G249" s="520"/>
      <c r="H249" s="521"/>
      <c r="I249" s="522"/>
      <c r="J249" s="521"/>
      <c r="K249" s="183"/>
      <c r="L249" s="520"/>
      <c r="M249" s="521"/>
      <c r="N249" s="522"/>
      <c r="O249" s="521"/>
      <c r="P249" s="183"/>
      <c r="Q249" s="520"/>
      <c r="R249" s="521"/>
      <c r="S249" s="522"/>
      <c r="T249" s="521"/>
      <c r="U249" s="183"/>
      <c r="V249" s="520"/>
      <c r="W249" s="521"/>
      <c r="X249" s="522"/>
      <c r="Y249" s="521"/>
      <c r="Z249" s="183"/>
      <c r="AA249" s="520"/>
      <c r="AB249" s="521"/>
      <c r="AC249" s="522"/>
      <c r="AD249" s="521"/>
      <c r="AE249" s="183"/>
      <c r="AF249" s="520"/>
      <c r="AG249" s="521"/>
      <c r="AH249" s="522"/>
      <c r="AI249" s="521"/>
      <c r="AJ249" s="183"/>
      <c r="AK249" s="7"/>
    </row>
    <row r="250" spans="1:87" s="1" customFormat="1" ht="18" customHeight="1">
      <c r="A250" s="234"/>
      <c r="B250" s="235"/>
      <c r="C250" s="236"/>
      <c r="D250" s="237"/>
      <c r="E250" s="238"/>
      <c r="F250" s="239"/>
      <c r="G250" s="240"/>
      <c r="H250" s="236"/>
      <c r="I250" s="271"/>
      <c r="J250" s="242"/>
      <c r="K250" s="243"/>
      <c r="L250" s="240"/>
      <c r="M250" s="236" t="s">
        <v>116</v>
      </c>
      <c r="N250" s="241"/>
      <c r="O250" s="236"/>
      <c r="P250" s="243"/>
      <c r="Q250" s="240"/>
      <c r="R250" s="236"/>
      <c r="S250" s="241"/>
      <c r="T250" s="236"/>
      <c r="U250" s="243"/>
      <c r="V250" s="240"/>
      <c r="W250" s="236" t="s">
        <v>116</v>
      </c>
      <c r="X250" s="271"/>
      <c r="Y250" s="242"/>
      <c r="Z250" s="243"/>
      <c r="AA250" s="240"/>
      <c r="AB250" s="236"/>
      <c r="AC250" s="241"/>
      <c r="AD250" s="236"/>
      <c r="AE250" s="243"/>
      <c r="AF250" s="240"/>
      <c r="AG250" s="236"/>
      <c r="AH250" s="241"/>
      <c r="AI250" s="242"/>
      <c r="AJ250" s="243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</row>
    <row r="251" spans="1:87" s="1" customFormat="1" ht="18" customHeight="1">
      <c r="A251" s="234"/>
      <c r="B251" s="235"/>
      <c r="C251" s="236"/>
      <c r="D251" s="237"/>
      <c r="E251" s="238"/>
      <c r="F251" s="239"/>
      <c r="G251" s="235"/>
      <c r="H251" s="236"/>
      <c r="I251" s="271"/>
      <c r="J251" s="242"/>
      <c r="K251" s="239"/>
      <c r="L251" s="235"/>
      <c r="M251" s="236" t="s">
        <v>117</v>
      </c>
      <c r="N251" s="241"/>
      <c r="O251" s="236"/>
      <c r="P251" s="239"/>
      <c r="Q251" s="235"/>
      <c r="R251" s="236"/>
      <c r="S251" s="241"/>
      <c r="T251" s="236"/>
      <c r="U251" s="243"/>
      <c r="V251" s="240"/>
      <c r="W251" s="236" t="s">
        <v>117</v>
      </c>
      <c r="X251" s="271"/>
      <c r="Y251" s="242"/>
      <c r="Z251" s="243"/>
      <c r="AA251" s="240"/>
      <c r="AB251" s="236"/>
      <c r="AC251" s="241"/>
      <c r="AD251" s="236"/>
      <c r="AE251" s="243"/>
      <c r="AF251" s="240"/>
      <c r="AG251" s="236"/>
      <c r="AH251" s="241"/>
      <c r="AI251" s="242"/>
      <c r="AJ251" s="243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</row>
    <row r="252" spans="1:87" s="1" customFormat="1" ht="18" customHeight="1">
      <c r="A252" s="234"/>
      <c r="B252" s="235"/>
      <c r="C252" s="236"/>
      <c r="D252" s="237"/>
      <c r="E252" s="238"/>
      <c r="F252" s="239"/>
      <c r="G252" s="235"/>
      <c r="H252" s="236"/>
      <c r="I252" s="271"/>
      <c r="J252" s="242"/>
      <c r="K252" s="239"/>
      <c r="L252" s="235"/>
      <c r="M252" s="236" t="s">
        <v>118</v>
      </c>
      <c r="N252" s="241"/>
      <c r="O252" s="236"/>
      <c r="P252" s="239"/>
      <c r="Q252" s="235"/>
      <c r="R252" s="236"/>
      <c r="S252" s="241"/>
      <c r="T252" s="236"/>
      <c r="U252" s="243"/>
      <c r="V252" s="240"/>
      <c r="W252" s="236" t="s">
        <v>118</v>
      </c>
      <c r="X252" s="271"/>
      <c r="Y252" s="242"/>
      <c r="Z252" s="243"/>
      <c r="AA252" s="240"/>
      <c r="AB252" s="236"/>
      <c r="AC252" s="241"/>
      <c r="AD252" s="236"/>
      <c r="AE252" s="243"/>
      <c r="AF252" s="240"/>
      <c r="AG252" s="236"/>
      <c r="AH252" s="241"/>
      <c r="AI252" s="242"/>
      <c r="AJ252" s="243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</row>
    <row r="253" spans="1:87" s="1" customFormat="1" ht="18" customHeight="1" thickBot="1">
      <c r="A253" s="234"/>
      <c r="B253" s="235"/>
      <c r="C253" s="236"/>
      <c r="D253" s="237"/>
      <c r="E253" s="238"/>
      <c r="F253" s="239"/>
      <c r="G253" s="246"/>
      <c r="H253" s="247"/>
      <c r="I253" s="272"/>
      <c r="J253" s="249"/>
      <c r="K253" s="250"/>
      <c r="L253" s="246"/>
      <c r="M253" s="247" t="s">
        <v>119</v>
      </c>
      <c r="N253" s="248"/>
      <c r="O253" s="247"/>
      <c r="P253" s="250"/>
      <c r="Q253" s="246"/>
      <c r="R253" s="247"/>
      <c r="S253" s="248"/>
      <c r="T253" s="247"/>
      <c r="U253" s="252"/>
      <c r="V253" s="251"/>
      <c r="W253" s="247" t="s">
        <v>119</v>
      </c>
      <c r="X253" s="272"/>
      <c r="Y253" s="249"/>
      <c r="Z253" s="252"/>
      <c r="AA253" s="251"/>
      <c r="AB253" s="247"/>
      <c r="AC253" s="248"/>
      <c r="AD253" s="247"/>
      <c r="AE253" s="252"/>
      <c r="AF253" s="251"/>
      <c r="AG253" s="247"/>
      <c r="AH253" s="248"/>
      <c r="AI253" s="249"/>
      <c r="AJ253" s="252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</row>
    <row r="254" spans="1:87" customFormat="1" ht="18" customHeight="1">
      <c r="A254" s="514" t="s">
        <v>69</v>
      </c>
      <c r="B254" s="523" t="s">
        <v>36</v>
      </c>
      <c r="C254" s="524"/>
      <c r="D254" s="139" t="s">
        <v>70</v>
      </c>
      <c r="E254" s="525" t="s">
        <v>71</v>
      </c>
      <c r="F254" s="526"/>
      <c r="G254" s="523" t="s">
        <v>36</v>
      </c>
      <c r="H254" s="524"/>
      <c r="I254" s="139" t="s">
        <v>70</v>
      </c>
      <c r="J254" s="525" t="s">
        <v>71</v>
      </c>
      <c r="K254" s="526"/>
      <c r="L254" s="523" t="s">
        <v>36</v>
      </c>
      <c r="M254" s="524"/>
      <c r="N254" s="139" t="s">
        <v>70</v>
      </c>
      <c r="O254" s="525" t="s">
        <v>71</v>
      </c>
      <c r="P254" s="526"/>
      <c r="Q254" s="523" t="s">
        <v>36</v>
      </c>
      <c r="R254" s="524"/>
      <c r="S254" s="139" t="s">
        <v>70</v>
      </c>
      <c r="T254" s="525" t="s">
        <v>71</v>
      </c>
      <c r="U254" s="526"/>
      <c r="V254" s="523" t="s">
        <v>36</v>
      </c>
      <c r="W254" s="524"/>
      <c r="X254" s="139" t="s">
        <v>70</v>
      </c>
      <c r="Y254" s="525" t="s">
        <v>71</v>
      </c>
      <c r="Z254" s="526"/>
      <c r="AA254" s="523" t="s">
        <v>36</v>
      </c>
      <c r="AB254" s="524"/>
      <c r="AC254" s="139" t="s">
        <v>70</v>
      </c>
      <c r="AD254" s="525" t="s">
        <v>71</v>
      </c>
      <c r="AE254" s="526"/>
      <c r="AF254" s="523" t="s">
        <v>36</v>
      </c>
      <c r="AG254" s="524"/>
      <c r="AH254" s="139" t="s">
        <v>70</v>
      </c>
      <c r="AI254" s="525" t="s">
        <v>71</v>
      </c>
      <c r="AJ254" s="526"/>
      <c r="AK254" s="91"/>
    </row>
    <row r="255" spans="1:87" customFormat="1" ht="18" customHeight="1">
      <c r="A255" s="527"/>
      <c r="B255" s="508"/>
      <c r="C255" s="509"/>
      <c r="D255" s="140"/>
      <c r="E255" s="495"/>
      <c r="F255" s="496"/>
      <c r="G255" s="508"/>
      <c r="H255" s="509"/>
      <c r="I255" s="140">
        <f>4.25</f>
        <v>4.25</v>
      </c>
      <c r="J255" s="495"/>
      <c r="K255" s="496"/>
      <c r="L255" s="508"/>
      <c r="M255" s="509"/>
      <c r="N255" s="140"/>
      <c r="O255" s="495"/>
      <c r="P255" s="496"/>
      <c r="Q255" s="508"/>
      <c r="R255" s="509"/>
      <c r="S255" s="140"/>
      <c r="T255" s="495"/>
      <c r="U255" s="496"/>
      <c r="V255" s="508"/>
      <c r="W255" s="509"/>
      <c r="X255" s="140"/>
      <c r="Y255" s="495"/>
      <c r="Z255" s="496"/>
      <c r="AA255" s="508"/>
      <c r="AB255" s="509"/>
      <c r="AC255" s="140"/>
      <c r="AD255" s="495"/>
      <c r="AE255" s="496"/>
      <c r="AF255" s="508"/>
      <c r="AG255" s="509"/>
      <c r="AH255" s="140"/>
      <c r="AI255" s="495"/>
      <c r="AJ255" s="496"/>
      <c r="AK255" s="91"/>
    </row>
    <row r="256" spans="1:87" customFormat="1" ht="18" customHeight="1">
      <c r="A256" s="527"/>
      <c r="B256" s="497" t="s">
        <v>34</v>
      </c>
      <c r="C256" s="498"/>
      <c r="D256" s="141" t="s">
        <v>72</v>
      </c>
      <c r="E256" s="506" t="s">
        <v>73</v>
      </c>
      <c r="F256" s="507"/>
      <c r="G256" s="497" t="s">
        <v>34</v>
      </c>
      <c r="H256" s="498"/>
      <c r="I256" s="141" t="s">
        <v>72</v>
      </c>
      <c r="J256" s="506" t="s">
        <v>73</v>
      </c>
      <c r="K256" s="507"/>
      <c r="L256" s="497" t="s">
        <v>34</v>
      </c>
      <c r="M256" s="498"/>
      <c r="N256" s="141" t="s">
        <v>72</v>
      </c>
      <c r="O256" s="506" t="s">
        <v>73</v>
      </c>
      <c r="P256" s="507"/>
      <c r="Q256" s="497" t="s">
        <v>34</v>
      </c>
      <c r="R256" s="498"/>
      <c r="S256" s="141" t="s">
        <v>72</v>
      </c>
      <c r="T256" s="506" t="s">
        <v>73</v>
      </c>
      <c r="U256" s="507"/>
      <c r="V256" s="497" t="s">
        <v>34</v>
      </c>
      <c r="W256" s="498"/>
      <c r="X256" s="141" t="s">
        <v>72</v>
      </c>
      <c r="Y256" s="506" t="s">
        <v>73</v>
      </c>
      <c r="Z256" s="507"/>
      <c r="AA256" s="497" t="s">
        <v>34</v>
      </c>
      <c r="AB256" s="498"/>
      <c r="AC256" s="141" t="s">
        <v>72</v>
      </c>
      <c r="AD256" s="506" t="s">
        <v>73</v>
      </c>
      <c r="AE256" s="507"/>
      <c r="AF256" s="497" t="s">
        <v>34</v>
      </c>
      <c r="AG256" s="498"/>
      <c r="AH256" s="141" t="s">
        <v>72</v>
      </c>
      <c r="AI256" s="506" t="s">
        <v>73</v>
      </c>
      <c r="AJ256" s="507"/>
      <c r="AK256" s="91"/>
    </row>
    <row r="257" spans="1:87" customFormat="1" ht="18" customHeight="1">
      <c r="A257" s="527"/>
      <c r="B257" s="497"/>
      <c r="C257" s="498"/>
      <c r="D257" s="140"/>
      <c r="E257" s="495"/>
      <c r="F257" s="496"/>
      <c r="G257" s="497"/>
      <c r="H257" s="498"/>
      <c r="I257" s="140"/>
      <c r="J257" s="495"/>
      <c r="K257" s="496"/>
      <c r="L257" s="497"/>
      <c r="M257" s="498"/>
      <c r="N257" s="140"/>
      <c r="O257" s="495"/>
      <c r="P257" s="496"/>
      <c r="Q257" s="497"/>
      <c r="R257" s="498"/>
      <c r="S257" s="140"/>
      <c r="T257" s="495"/>
      <c r="U257" s="496"/>
      <c r="V257" s="497"/>
      <c r="W257" s="498"/>
      <c r="X257" s="140"/>
      <c r="Y257" s="495"/>
      <c r="Z257" s="496"/>
      <c r="AA257" s="497"/>
      <c r="AB257" s="498"/>
      <c r="AC257" s="140"/>
      <c r="AD257" s="495"/>
      <c r="AE257" s="496"/>
      <c r="AF257" s="497"/>
      <c r="AG257" s="498"/>
      <c r="AH257" s="140"/>
      <c r="AI257" s="495"/>
      <c r="AJ257" s="496"/>
      <c r="AK257" s="91"/>
    </row>
    <row r="258" spans="1:87" customFormat="1" ht="18" customHeight="1">
      <c r="A258" s="527"/>
      <c r="B258" s="510" t="s">
        <v>74</v>
      </c>
      <c r="C258" s="511"/>
      <c r="D258" s="142" t="s">
        <v>75</v>
      </c>
      <c r="E258" s="512" t="s">
        <v>76</v>
      </c>
      <c r="F258" s="513"/>
      <c r="G258" s="510" t="s">
        <v>74</v>
      </c>
      <c r="H258" s="511"/>
      <c r="I258" s="142" t="s">
        <v>75</v>
      </c>
      <c r="J258" s="512" t="s">
        <v>76</v>
      </c>
      <c r="K258" s="513"/>
      <c r="L258" s="510" t="s">
        <v>74</v>
      </c>
      <c r="M258" s="511"/>
      <c r="N258" s="142" t="s">
        <v>75</v>
      </c>
      <c r="O258" s="512" t="s">
        <v>76</v>
      </c>
      <c r="P258" s="513"/>
      <c r="Q258" s="510" t="s">
        <v>74</v>
      </c>
      <c r="R258" s="511"/>
      <c r="S258" s="142" t="s">
        <v>75</v>
      </c>
      <c r="T258" s="512" t="s">
        <v>76</v>
      </c>
      <c r="U258" s="513"/>
      <c r="V258" s="510" t="s">
        <v>74</v>
      </c>
      <c r="W258" s="511"/>
      <c r="X258" s="142" t="s">
        <v>75</v>
      </c>
      <c r="Y258" s="512" t="s">
        <v>76</v>
      </c>
      <c r="Z258" s="513"/>
      <c r="AA258" s="510" t="s">
        <v>74</v>
      </c>
      <c r="AB258" s="511"/>
      <c r="AC258" s="142" t="s">
        <v>75</v>
      </c>
      <c r="AD258" s="512" t="s">
        <v>76</v>
      </c>
      <c r="AE258" s="513"/>
      <c r="AF258" s="510" t="s">
        <v>74</v>
      </c>
      <c r="AG258" s="511"/>
      <c r="AH258" s="142" t="s">
        <v>75</v>
      </c>
      <c r="AI258" s="512" t="s">
        <v>76</v>
      </c>
      <c r="AJ258" s="513"/>
      <c r="AK258" s="91"/>
    </row>
    <row r="259" spans="1:87" customFormat="1" ht="18" customHeight="1" thickBot="1">
      <c r="A259" s="516"/>
      <c r="B259" s="504"/>
      <c r="C259" s="505"/>
      <c r="D259" s="143"/>
      <c r="E259" s="502"/>
      <c r="F259" s="503"/>
      <c r="G259" s="504"/>
      <c r="H259" s="505"/>
      <c r="I259" s="143"/>
      <c r="J259" s="502"/>
      <c r="K259" s="503"/>
      <c r="L259" s="504"/>
      <c r="M259" s="505"/>
      <c r="N259" s="143"/>
      <c r="O259" s="502"/>
      <c r="P259" s="503"/>
      <c r="Q259" s="504"/>
      <c r="R259" s="505"/>
      <c r="S259" s="143"/>
      <c r="T259" s="502"/>
      <c r="U259" s="503"/>
      <c r="V259" s="504"/>
      <c r="W259" s="505"/>
      <c r="X259" s="143"/>
      <c r="Y259" s="502"/>
      <c r="Z259" s="503"/>
      <c r="AA259" s="504"/>
      <c r="AB259" s="505"/>
      <c r="AC259" s="143"/>
      <c r="AD259" s="502"/>
      <c r="AE259" s="503"/>
      <c r="AF259" s="504"/>
      <c r="AG259" s="505"/>
      <c r="AH259" s="143"/>
      <c r="AI259" s="502"/>
      <c r="AJ259" s="503"/>
      <c r="AK259" s="91"/>
    </row>
    <row r="260" spans="1:87" s="1" customFormat="1" ht="18" customHeight="1">
      <c r="A260" s="603" t="s">
        <v>61</v>
      </c>
      <c r="B260" s="603"/>
      <c r="C260" s="603"/>
      <c r="D260" s="603"/>
      <c r="E260" s="603"/>
      <c r="F260" s="603"/>
      <c r="G260" s="603"/>
      <c r="H260" s="603"/>
      <c r="I260" s="603"/>
      <c r="J260" s="603"/>
      <c r="K260" s="603"/>
      <c r="L260" s="603"/>
      <c r="M260" s="603"/>
      <c r="N260" s="603"/>
      <c r="O260" s="603"/>
      <c r="P260" s="603"/>
      <c r="Q260" s="603"/>
      <c r="R260" s="603"/>
      <c r="S260" s="603"/>
      <c r="T260" s="603"/>
      <c r="U260" s="603"/>
      <c r="V260" s="603"/>
      <c r="W260" s="603"/>
      <c r="X260" s="603"/>
      <c r="Y260" s="603"/>
      <c r="Z260" s="603"/>
      <c r="AA260" s="603"/>
      <c r="AB260" s="603"/>
      <c r="AC260" s="603"/>
      <c r="AD260" s="603"/>
      <c r="AE260" s="603"/>
      <c r="AF260" s="69"/>
      <c r="AG260" s="69"/>
      <c r="AH260" s="69"/>
      <c r="AI260" s="69"/>
      <c r="AJ260" s="69"/>
      <c r="AK260" s="91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</row>
    <row r="261" spans="1:87" s="1" customFormat="1" ht="18" customHeight="1">
      <c r="A261" s="604" t="s">
        <v>62</v>
      </c>
      <c r="B261" s="604"/>
      <c r="C261" s="604"/>
      <c r="D261" s="604"/>
      <c r="E261" s="604"/>
      <c r="F261" s="604"/>
      <c r="G261" s="604"/>
      <c r="H261" s="604"/>
      <c r="I261" s="604"/>
      <c r="J261" s="604"/>
      <c r="K261" s="604"/>
      <c r="L261" s="604"/>
      <c r="M261" s="604"/>
      <c r="N261" s="604"/>
      <c r="O261" s="604"/>
      <c r="P261" s="604"/>
      <c r="Q261" s="604"/>
      <c r="R261" s="604"/>
      <c r="S261" s="604"/>
      <c r="T261" s="604"/>
      <c r="U261" s="604"/>
      <c r="V261" s="604"/>
      <c r="W261" s="604"/>
      <c r="X261" s="604"/>
      <c r="Y261" s="604"/>
      <c r="Z261" s="604"/>
      <c r="AA261" s="604"/>
      <c r="AB261" s="604"/>
      <c r="AC261" s="604"/>
      <c r="AD261" s="604"/>
      <c r="AE261" s="604"/>
      <c r="AF261" s="69"/>
      <c r="AG261" s="69"/>
      <c r="AH261" s="69"/>
      <c r="AI261" s="69"/>
      <c r="AJ261" s="69"/>
      <c r="AK261" s="9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</row>
    <row r="262" spans="1:87" ht="18.75">
      <c r="A262" s="500" t="s">
        <v>64</v>
      </c>
      <c r="B262" s="500"/>
      <c r="C262" s="500"/>
      <c r="D262" s="500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  <c r="Y262" s="500"/>
      <c r="Z262" s="500"/>
      <c r="AA262" s="500"/>
      <c r="AB262" s="500"/>
      <c r="AC262" s="500"/>
      <c r="AD262" s="500"/>
      <c r="AE262" s="500"/>
      <c r="AF262" s="500"/>
      <c r="AG262" s="500"/>
      <c r="AH262" s="500"/>
      <c r="AI262" s="500"/>
      <c r="AJ262" s="500"/>
      <c r="AK262" s="7"/>
    </row>
    <row r="263" spans="1:87" ht="16.149999999999999" customHeight="1">
      <c r="A263" s="499"/>
      <c r="B263" s="499"/>
      <c r="C263" s="499"/>
      <c r="D263" s="499"/>
      <c r="E263" s="499"/>
      <c r="F263" s="499"/>
      <c r="G263" s="499"/>
      <c r="H263" s="499"/>
      <c r="I263" s="499"/>
      <c r="J263" s="499"/>
      <c r="K263" s="499"/>
      <c r="L263" s="499"/>
      <c r="M263" s="499"/>
      <c r="N263" s="499"/>
      <c r="O263" s="499"/>
      <c r="P263" s="499"/>
      <c r="Q263" s="499"/>
      <c r="R263" s="499"/>
      <c r="S263" s="499"/>
      <c r="T263" s="499"/>
      <c r="U263" s="499"/>
      <c r="V263" s="499"/>
      <c r="W263" s="499"/>
      <c r="X263" s="499"/>
      <c r="Y263" s="499"/>
      <c r="Z263" s="499"/>
      <c r="AA263" s="499"/>
      <c r="AB263" s="499"/>
      <c r="AC263" s="499"/>
      <c r="AD263" s="499"/>
      <c r="AE263" s="499"/>
      <c r="AF263" s="499"/>
      <c r="AG263" s="499"/>
      <c r="AH263" s="499"/>
      <c r="AI263" s="499"/>
      <c r="AJ263" s="499"/>
    </row>
    <row r="264" spans="1:87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  <c r="AA264" s="501"/>
      <c r="AB264" s="501"/>
      <c r="AC264" s="501"/>
      <c r="AD264" s="501"/>
      <c r="AE264" s="501"/>
      <c r="AF264" s="501"/>
      <c r="AG264" s="501"/>
      <c r="AH264" s="501"/>
      <c r="AI264" s="501"/>
      <c r="AJ264" s="501"/>
    </row>
    <row r="265" spans="1:87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  <c r="AA265" s="501"/>
      <c r="AB265" s="501"/>
      <c r="AC265" s="501"/>
      <c r="AD265" s="501"/>
      <c r="AE265" s="501"/>
      <c r="AF265" s="501"/>
      <c r="AG265" s="501"/>
      <c r="AH265" s="501"/>
      <c r="AI265" s="501"/>
      <c r="AJ265" s="501"/>
    </row>
    <row r="266" spans="1:87">
      <c r="I266" s="7" t="s">
        <v>77</v>
      </c>
      <c r="J266" s="7">
        <v>590</v>
      </c>
      <c r="N266" s="7" t="s">
        <v>77</v>
      </c>
      <c r="O266" s="7">
        <v>590</v>
      </c>
      <c r="S266" s="7" t="s">
        <v>77</v>
      </c>
      <c r="T266" s="7">
        <v>590</v>
      </c>
      <c r="X266" s="7" t="s">
        <v>77</v>
      </c>
      <c r="Y266" s="7">
        <v>590</v>
      </c>
      <c r="AC266" s="7" t="s">
        <v>77</v>
      </c>
      <c r="AD266" s="7">
        <v>590</v>
      </c>
      <c r="AH266" s="7" t="s">
        <v>77</v>
      </c>
      <c r="AI266" s="7">
        <v>863</v>
      </c>
    </row>
    <row r="267" spans="1:87">
      <c r="I267" s="7" t="s">
        <v>84</v>
      </c>
      <c r="J267" s="7">
        <f>1287-24-7</f>
        <v>1256</v>
      </c>
      <c r="N267" s="7" t="s">
        <v>84</v>
      </c>
      <c r="O267" s="7">
        <f>1287-24-12</f>
        <v>1251</v>
      </c>
      <c r="S267" s="7" t="s">
        <v>84</v>
      </c>
      <c r="T267" s="7">
        <v>1287</v>
      </c>
      <c r="X267" s="7" t="s">
        <v>84</v>
      </c>
      <c r="Y267" s="7">
        <f>1287-22-24</f>
        <v>1241</v>
      </c>
      <c r="AC267" s="7" t="s">
        <v>84</v>
      </c>
      <c r="AD267" s="7">
        <f>1287-615</f>
        <v>672</v>
      </c>
      <c r="AH267" s="7" t="s">
        <v>79</v>
      </c>
      <c r="AI267" s="7">
        <v>1287</v>
      </c>
    </row>
    <row r="268" spans="1:87">
      <c r="I268" s="7" t="s">
        <v>85</v>
      </c>
      <c r="J268" s="7">
        <v>35</v>
      </c>
      <c r="N268" s="7" t="s">
        <v>85</v>
      </c>
      <c r="O268" s="7">
        <v>35</v>
      </c>
      <c r="S268" s="7" t="s">
        <v>85</v>
      </c>
      <c r="T268" s="7">
        <v>35</v>
      </c>
      <c r="X268" s="7" t="s">
        <v>85</v>
      </c>
      <c r="Y268" s="7">
        <v>35</v>
      </c>
      <c r="AC268" s="7" t="s">
        <v>85</v>
      </c>
      <c r="AD268" s="7">
        <v>35</v>
      </c>
      <c r="AH268" s="7" t="s">
        <v>85</v>
      </c>
      <c r="AI268" s="7">
        <v>35</v>
      </c>
    </row>
  </sheetData>
  <mergeCells count="246">
    <mergeCell ref="A1:AJ1"/>
    <mergeCell ref="A260:AE260"/>
    <mergeCell ref="A261:AE261"/>
    <mergeCell ref="G199:G213"/>
    <mergeCell ref="L199:L213"/>
    <mergeCell ref="Q199:Q213"/>
    <mergeCell ref="V199:V213"/>
    <mergeCell ref="AF199:AF213"/>
    <mergeCell ref="A184:A198"/>
    <mergeCell ref="B184:B198"/>
    <mergeCell ref="G184:G198"/>
    <mergeCell ref="L184:L198"/>
    <mergeCell ref="Q184:Q198"/>
    <mergeCell ref="V184:V198"/>
    <mergeCell ref="AA199:AA213"/>
    <mergeCell ref="AA184:AA198"/>
    <mergeCell ref="AF184:AF198"/>
    <mergeCell ref="A199:A213"/>
    <mergeCell ref="B199:B213"/>
    <mergeCell ref="L139:L153"/>
    <mergeCell ref="Q139:Q153"/>
    <mergeCell ref="V139:V153"/>
    <mergeCell ref="AA139:AA153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F124:AF138"/>
    <mergeCell ref="A139:A153"/>
    <mergeCell ref="B139:B153"/>
    <mergeCell ref="G139:G153"/>
    <mergeCell ref="AF139:AF153"/>
    <mergeCell ref="A124:A138"/>
    <mergeCell ref="B124:B138"/>
    <mergeCell ref="G124:G138"/>
    <mergeCell ref="L124:L138"/>
    <mergeCell ref="Q124:Q138"/>
    <mergeCell ref="V124:V138"/>
    <mergeCell ref="AA124:AA13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94:AA10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64:AA7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34:AA48"/>
    <mergeCell ref="AB49:AE52"/>
    <mergeCell ref="W49:Z52"/>
    <mergeCell ref="H49:K52"/>
    <mergeCell ref="M49:P52"/>
    <mergeCell ref="Q4:Q18"/>
    <mergeCell ref="V4:V18"/>
    <mergeCell ref="A2:A3"/>
    <mergeCell ref="B2:C2"/>
    <mergeCell ref="G2:H2"/>
    <mergeCell ref="Q2:R2"/>
    <mergeCell ref="V2:W2"/>
    <mergeCell ref="L2:M2"/>
    <mergeCell ref="AF34:AF48"/>
    <mergeCell ref="D233:E233"/>
    <mergeCell ref="L233:M233"/>
    <mergeCell ref="A214:A233"/>
    <mergeCell ref="B233:C233"/>
    <mergeCell ref="AA154:AA168"/>
    <mergeCell ref="AA2:AB2"/>
    <mergeCell ref="AF233:AG233"/>
    <mergeCell ref="G233:H233"/>
    <mergeCell ref="I233:J233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S233:T233"/>
    <mergeCell ref="X233:Y233"/>
    <mergeCell ref="AC233:AD233"/>
    <mergeCell ref="AH233:AI233"/>
    <mergeCell ref="N233:O233"/>
    <mergeCell ref="Q233:R233"/>
    <mergeCell ref="V233:W233"/>
    <mergeCell ref="AA233:AB233"/>
    <mergeCell ref="AF249:AG249"/>
    <mergeCell ref="AH249:AI249"/>
    <mergeCell ref="AF254:AG254"/>
    <mergeCell ref="AI254:AJ254"/>
    <mergeCell ref="B255:C255"/>
    <mergeCell ref="E255:F255"/>
    <mergeCell ref="G255:H255"/>
    <mergeCell ref="A254:A259"/>
    <mergeCell ref="B254:C254"/>
    <mergeCell ref="E254:F254"/>
    <mergeCell ref="G254:H254"/>
    <mergeCell ref="J254:K254"/>
    <mergeCell ref="L254:M254"/>
    <mergeCell ref="O254:P254"/>
    <mergeCell ref="Q254:R254"/>
    <mergeCell ref="T254:U254"/>
    <mergeCell ref="O257:P257"/>
    <mergeCell ref="Q257:R257"/>
    <mergeCell ref="T257:U257"/>
    <mergeCell ref="AD257:AE257"/>
    <mergeCell ref="AF255:AG255"/>
    <mergeCell ref="AI255:AJ255"/>
    <mergeCell ref="B256:C256"/>
    <mergeCell ref="E256:F256"/>
    <mergeCell ref="G256:H256"/>
    <mergeCell ref="J256:K256"/>
    <mergeCell ref="A234:A249"/>
    <mergeCell ref="B249:C249"/>
    <mergeCell ref="D249:E249"/>
    <mergeCell ref="G249:H249"/>
    <mergeCell ref="T255:U255"/>
    <mergeCell ref="V255:W255"/>
    <mergeCell ref="Y255:Z255"/>
    <mergeCell ref="AA255:AB255"/>
    <mergeCell ref="AD255:AE255"/>
    <mergeCell ref="V249:W249"/>
    <mergeCell ref="X249:Y249"/>
    <mergeCell ref="AA249:AB249"/>
    <mergeCell ref="AC249:AD249"/>
    <mergeCell ref="V254:W254"/>
    <mergeCell ref="Y254:Z254"/>
    <mergeCell ref="AA254:AB254"/>
    <mergeCell ref="AD254:AE254"/>
    <mergeCell ref="I249:J249"/>
    <mergeCell ref="L249:M249"/>
    <mergeCell ref="N249:O249"/>
    <mergeCell ref="Q249:R249"/>
    <mergeCell ref="S249:T249"/>
    <mergeCell ref="L256:M256"/>
    <mergeCell ref="O256:P256"/>
    <mergeCell ref="Q256:R256"/>
    <mergeCell ref="T256:U256"/>
    <mergeCell ref="V256:W256"/>
    <mergeCell ref="Y256:Z256"/>
    <mergeCell ref="AA256:AB256"/>
    <mergeCell ref="AD256:AE256"/>
    <mergeCell ref="AF256:AG256"/>
    <mergeCell ref="AI256:AJ256"/>
    <mergeCell ref="J255:K255"/>
    <mergeCell ref="L255:M255"/>
    <mergeCell ref="O255:P255"/>
    <mergeCell ref="Q255:R255"/>
    <mergeCell ref="AF257:AG257"/>
    <mergeCell ref="AI257:AJ257"/>
    <mergeCell ref="B258:C258"/>
    <mergeCell ref="E258:F258"/>
    <mergeCell ref="G258:H258"/>
    <mergeCell ref="J258:K258"/>
    <mergeCell ref="L258:M258"/>
    <mergeCell ref="O258:P258"/>
    <mergeCell ref="Q258:R258"/>
    <mergeCell ref="T258:U258"/>
    <mergeCell ref="V258:W258"/>
    <mergeCell ref="Y258:Z258"/>
    <mergeCell ref="AA258:AB258"/>
    <mergeCell ref="AD258:AE258"/>
    <mergeCell ref="AF258:AG258"/>
    <mergeCell ref="AI258:AJ258"/>
    <mergeCell ref="B257:C257"/>
    <mergeCell ref="E257:F257"/>
    <mergeCell ref="G257:H257"/>
    <mergeCell ref="J257:K257"/>
    <mergeCell ref="L257:M257"/>
    <mergeCell ref="V257:W257"/>
    <mergeCell ref="Y257:Z257"/>
    <mergeCell ref="AA257:AB257"/>
    <mergeCell ref="A263:AJ263"/>
    <mergeCell ref="A262:AJ262"/>
    <mergeCell ref="A264:AJ264"/>
    <mergeCell ref="A265:AJ265"/>
    <mergeCell ref="Y259:Z259"/>
    <mergeCell ref="AA259:AB259"/>
    <mergeCell ref="AD259:AE259"/>
    <mergeCell ref="AF259:AG259"/>
    <mergeCell ref="AI259:AJ259"/>
    <mergeCell ref="B259:C259"/>
    <mergeCell ref="E259:F259"/>
    <mergeCell ref="G259:H259"/>
    <mergeCell ref="J259:K259"/>
    <mergeCell ref="L259:M259"/>
    <mergeCell ref="O259:P259"/>
    <mergeCell ref="Q259:R259"/>
    <mergeCell ref="T259:U259"/>
    <mergeCell ref="V259:W259"/>
  </mergeCells>
  <phoneticPr fontId="16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H277"/>
  <sheetViews>
    <sheetView showZeros="0" zoomScale="80" zoomScaleNormal="80" workbookViewId="0">
      <pane ySplit="3" topLeftCell="A4" activePane="bottomLeft" state="frozen"/>
      <selection activeCell="W187" sqref="W187"/>
      <selection pane="bottomLeft" activeCell="BH99" sqref="BH99"/>
    </sheetView>
  </sheetViews>
  <sheetFormatPr defaultColWidth="9" defaultRowHeight="16.5"/>
  <cols>
    <col min="1" max="1" width="3.625" style="7" customWidth="1"/>
    <col min="2" max="2" width="5.625" style="7" hidden="1" customWidth="1"/>
    <col min="3" max="6" width="7.625" style="7" hidden="1" customWidth="1"/>
    <col min="7" max="7" width="5.625" style="7" customWidth="1"/>
    <col min="8" max="8" width="14.75" style="184" customWidth="1"/>
    <col min="9" max="11" width="7.625" style="7" customWidth="1"/>
    <col min="12" max="12" width="5.625" style="7" customWidth="1"/>
    <col min="13" max="13" width="14.75" style="7" customWidth="1"/>
    <col min="14" max="14" width="9.125" style="7" customWidth="1"/>
    <col min="15" max="16" width="7.625" style="7" customWidth="1"/>
    <col min="17" max="17" width="5.625" style="7" customWidth="1"/>
    <col min="18" max="18" width="14.75" style="7" customWidth="1"/>
    <col min="19" max="21" width="7.625" style="7" customWidth="1"/>
    <col min="22" max="22" width="5.625" style="7" customWidth="1"/>
    <col min="23" max="23" width="14.75" style="7" customWidth="1"/>
    <col min="24" max="24" width="9.625" style="7" customWidth="1"/>
    <col min="25" max="26" width="7.625" style="7" customWidth="1"/>
    <col min="27" max="27" width="5.625" style="7" customWidth="1"/>
    <col min="28" max="28" width="14.75" style="7" customWidth="1"/>
    <col min="29" max="29" width="10.625" style="7" customWidth="1"/>
    <col min="30" max="31" width="7.625" style="7" customWidth="1"/>
    <col min="32" max="32" width="5.625" style="7" hidden="1" customWidth="1"/>
    <col min="33" max="36" width="7.625" style="7" hidden="1" customWidth="1"/>
    <col min="37" max="37" width="9" style="7" customWidth="1"/>
    <col min="38" max="38" width="4.5" customWidth="1"/>
    <col min="39" max="39" width="8.625" customWidth="1"/>
    <col min="40" max="45" width="4" customWidth="1"/>
    <col min="46" max="46" width="4.5" customWidth="1"/>
    <col min="47" max="47" width="8.625" customWidth="1"/>
    <col min="48" max="53" width="4" customWidth="1"/>
    <col min="54" max="54" width="4.5" customWidth="1"/>
    <col min="55" max="55" width="8.625" customWidth="1"/>
    <col min="56" max="61" width="4" customWidth="1"/>
    <col min="62" max="62" width="4.5" customWidth="1"/>
    <col min="63" max="63" width="8.625" customWidth="1"/>
    <col min="64" max="69" width="4" customWidth="1"/>
    <col min="70" max="70" width="4.5" customWidth="1"/>
    <col min="71" max="71" width="8.625" customWidth="1"/>
    <col min="72" max="77" width="4" customWidth="1"/>
    <col min="78" max="78" width="4.5" customWidth="1"/>
    <col min="79" max="79" width="8.625" customWidth="1"/>
    <col min="80" max="85" width="4" customWidth="1"/>
    <col min="87" max="16384" width="9" style="7"/>
  </cols>
  <sheetData>
    <row r="1" spans="1:86" s="91" customFormat="1" ht="25.9" customHeight="1" thickBot="1">
      <c r="A1" s="602" t="str">
        <f>菜單總表!A2&amp;+LEFT(菜單總表!A3,FIND("餐",菜單總表!A3)-3)&amp;+"第2週午餐菜單"</f>
        <v>基隆市安樂高中、長樂安樂港西國小113 年 6 月 份 第2週午餐菜單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</row>
    <row r="2" spans="1:86" s="91" customFormat="1" ht="18" customHeight="1">
      <c r="A2" s="558"/>
      <c r="B2" s="531">
        <v>44290</v>
      </c>
      <c r="C2" s="532"/>
      <c r="D2" s="10" t="s">
        <v>26</v>
      </c>
      <c r="E2" s="25"/>
      <c r="F2" s="28" t="s">
        <v>12</v>
      </c>
      <c r="G2" s="531">
        <f>DATE(YEAR(第一週!AA2),MONTH(第一週!AA2),DAY(第一週!AA2)+3)</f>
        <v>45453</v>
      </c>
      <c r="H2" s="532"/>
      <c r="I2" s="8" t="s">
        <v>22</v>
      </c>
      <c r="J2" s="25">
        <v>2100</v>
      </c>
      <c r="K2" s="28" t="s">
        <v>12</v>
      </c>
      <c r="L2" s="531">
        <f>DATE(YEAR(G2),MONTH(G2),DAY(G2)+1)</f>
        <v>45454</v>
      </c>
      <c r="M2" s="532"/>
      <c r="N2" s="10" t="s">
        <v>23</v>
      </c>
      <c r="O2" s="114">
        <f>1900-28</f>
        <v>1872</v>
      </c>
      <c r="P2" s="28" t="s">
        <v>12</v>
      </c>
      <c r="Q2" s="531">
        <f>DATE(YEAR(L2),MONTH(L2),DAY(L2)+1)</f>
        <v>45455</v>
      </c>
      <c r="R2" s="532"/>
      <c r="S2" s="10" t="s">
        <v>24</v>
      </c>
      <c r="T2" s="114">
        <v>1900</v>
      </c>
      <c r="U2" s="28" t="s">
        <v>12</v>
      </c>
      <c r="V2" s="531">
        <f>DATE(YEAR(Q2),MONTH(Q2),DAY(Q2)+1)</f>
        <v>45456</v>
      </c>
      <c r="W2" s="532"/>
      <c r="X2" s="10" t="s">
        <v>25</v>
      </c>
      <c r="Y2" s="114">
        <v>1900</v>
      </c>
      <c r="Z2" s="28" t="s">
        <v>12</v>
      </c>
      <c r="AA2" s="531">
        <f>DATE(YEAR(V2),MONTH(V2),DAY(V2)+1)</f>
        <v>45457</v>
      </c>
      <c r="AB2" s="532"/>
      <c r="AC2" s="10" t="s">
        <v>16</v>
      </c>
      <c r="AD2" s="114">
        <f>1900-20</f>
        <v>1880</v>
      </c>
      <c r="AE2" s="28" t="s">
        <v>12</v>
      </c>
      <c r="AF2" s="531"/>
      <c r="AG2" s="532"/>
      <c r="AH2" s="10" t="s">
        <v>17</v>
      </c>
      <c r="AI2" s="25"/>
      <c r="AJ2" s="28" t="s">
        <v>12</v>
      </c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</row>
    <row r="3" spans="1:86" s="91" customFormat="1" ht="18" customHeight="1" thickBot="1">
      <c r="A3" s="559"/>
      <c r="B3" s="29" t="s">
        <v>18</v>
      </c>
      <c r="C3" s="64" t="s">
        <v>19</v>
      </c>
      <c r="D3" s="64" t="s">
        <v>20</v>
      </c>
      <c r="E3" s="31" t="s">
        <v>4</v>
      </c>
      <c r="F3" s="32" t="s">
        <v>3</v>
      </c>
      <c r="G3" s="29" t="s">
        <v>18</v>
      </c>
      <c r="H3" s="117" t="s">
        <v>19</v>
      </c>
      <c r="I3" s="26" t="s">
        <v>20</v>
      </c>
      <c r="J3" s="26" t="s">
        <v>4</v>
      </c>
      <c r="K3" s="30" t="s">
        <v>3</v>
      </c>
      <c r="L3" s="29" t="s">
        <v>18</v>
      </c>
      <c r="M3" s="31" t="s">
        <v>19</v>
      </c>
      <c r="N3" s="31" t="s">
        <v>20</v>
      </c>
      <c r="O3" s="31" t="s">
        <v>4</v>
      </c>
      <c r="P3" s="32" t="s">
        <v>3</v>
      </c>
      <c r="Q3" s="29" t="s">
        <v>18</v>
      </c>
      <c r="R3" s="31" t="s">
        <v>19</v>
      </c>
      <c r="S3" s="31" t="s">
        <v>20</v>
      </c>
      <c r="T3" s="31" t="s">
        <v>4</v>
      </c>
      <c r="U3" s="32" t="s">
        <v>3</v>
      </c>
      <c r="V3" s="29" t="s">
        <v>18</v>
      </c>
      <c r="W3" s="31" t="s">
        <v>19</v>
      </c>
      <c r="X3" s="31" t="s">
        <v>20</v>
      </c>
      <c r="Y3" s="31" t="s">
        <v>4</v>
      </c>
      <c r="Z3" s="32" t="s">
        <v>3</v>
      </c>
      <c r="AA3" s="29" t="s">
        <v>18</v>
      </c>
      <c r="AB3" s="31" t="s">
        <v>19</v>
      </c>
      <c r="AC3" s="31" t="s">
        <v>20</v>
      </c>
      <c r="AD3" s="31" t="s">
        <v>4</v>
      </c>
      <c r="AE3" s="32" t="s">
        <v>3</v>
      </c>
      <c r="AF3" s="29" t="s">
        <v>18</v>
      </c>
      <c r="AG3" s="31" t="s">
        <v>19</v>
      </c>
      <c r="AH3" s="31" t="s">
        <v>20</v>
      </c>
      <c r="AI3" s="31" t="s">
        <v>4</v>
      </c>
      <c r="AJ3" s="32" t="s">
        <v>3</v>
      </c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</row>
    <row r="4" spans="1:86" s="91" customFormat="1" ht="18" customHeight="1">
      <c r="A4" s="551" t="s">
        <v>33</v>
      </c>
      <c r="B4" s="536"/>
      <c r="C4" s="36"/>
      <c r="D4" s="37"/>
      <c r="E4" s="38"/>
      <c r="F4" s="39"/>
      <c r="G4" s="533"/>
      <c r="H4" s="320"/>
      <c r="I4" s="9"/>
      <c r="J4" s="33"/>
      <c r="K4" s="34" t="s">
        <v>0</v>
      </c>
      <c r="L4" s="533" t="s">
        <v>150</v>
      </c>
      <c r="M4" s="320" t="s">
        <v>151</v>
      </c>
      <c r="N4" s="9"/>
      <c r="O4" s="33">
        <f>ROUND(80*O$2/1000,0)</f>
        <v>150</v>
      </c>
      <c r="P4" s="34" t="s">
        <v>0</v>
      </c>
      <c r="Q4" s="533" t="s">
        <v>281</v>
      </c>
      <c r="R4" s="93" t="s">
        <v>281</v>
      </c>
      <c r="S4" s="9"/>
      <c r="T4" s="273">
        <f>ROUND(60*T$2/1000,0)</f>
        <v>114</v>
      </c>
      <c r="U4" s="223" t="s">
        <v>0</v>
      </c>
      <c r="V4" s="555" t="s">
        <v>174</v>
      </c>
      <c r="W4" s="93" t="s">
        <v>151</v>
      </c>
      <c r="X4" s="9"/>
      <c r="Y4" s="33">
        <f>ROUND(74*Y2/1000,0)</f>
        <v>141</v>
      </c>
      <c r="Z4" s="34" t="s">
        <v>0</v>
      </c>
      <c r="AA4" s="533" t="s">
        <v>150</v>
      </c>
      <c r="AB4" s="93" t="s">
        <v>151</v>
      </c>
      <c r="AC4" s="9"/>
      <c r="AD4" s="33">
        <f>ROUND(80*AD2/1000,0)</f>
        <v>150</v>
      </c>
      <c r="AE4" s="34" t="s">
        <v>0</v>
      </c>
      <c r="AF4" s="536" t="s">
        <v>106</v>
      </c>
      <c r="AG4" s="36" t="s">
        <v>105</v>
      </c>
      <c r="AH4" s="37"/>
      <c r="AI4" s="38">
        <f>ROUND(74*AI2/1000,0)</f>
        <v>0</v>
      </c>
      <c r="AJ4" s="39" t="s">
        <v>5</v>
      </c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</row>
    <row r="5" spans="1:86" s="91" customFormat="1" ht="18" customHeight="1" thickBot="1">
      <c r="A5" s="537"/>
      <c r="B5" s="537"/>
      <c r="C5" s="42"/>
      <c r="D5" s="7"/>
      <c r="E5" s="43"/>
      <c r="F5" s="44"/>
      <c r="G5" s="534"/>
      <c r="H5" s="322"/>
      <c r="I5" s="14"/>
      <c r="J5" s="40"/>
      <c r="K5" s="41" t="s">
        <v>0</v>
      </c>
      <c r="L5" s="534"/>
      <c r="M5" s="322"/>
      <c r="N5" s="14"/>
      <c r="O5" s="40" t="s">
        <v>152</v>
      </c>
      <c r="P5" s="41" t="s">
        <v>0</v>
      </c>
      <c r="Q5" s="534"/>
      <c r="R5" s="94"/>
      <c r="S5" s="14"/>
      <c r="T5" s="274"/>
      <c r="U5" s="270" t="s">
        <v>0</v>
      </c>
      <c r="V5" s="556"/>
      <c r="W5" s="94" t="s">
        <v>175</v>
      </c>
      <c r="X5" s="14" t="s">
        <v>149</v>
      </c>
      <c r="Y5" s="40">
        <f>ROUND(6*Y2/1000,0)</f>
        <v>11</v>
      </c>
      <c r="Z5" s="41" t="s">
        <v>0</v>
      </c>
      <c r="AA5" s="534"/>
      <c r="AB5" s="94"/>
      <c r="AC5" s="14"/>
      <c r="AD5" s="40"/>
      <c r="AE5" s="41" t="s">
        <v>0</v>
      </c>
      <c r="AF5" s="537"/>
      <c r="AG5" s="42" t="s">
        <v>107</v>
      </c>
      <c r="AH5" s="7"/>
      <c r="AI5" s="43">
        <f>ROUND(6*AI2/1000,0)</f>
        <v>0</v>
      </c>
      <c r="AJ5" s="44" t="s">
        <v>5</v>
      </c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</row>
    <row r="6" spans="1:86" s="91" customFormat="1" ht="18" hidden="1" customHeight="1" thickBot="1">
      <c r="A6" s="537"/>
      <c r="B6" s="537"/>
      <c r="C6" s="42"/>
      <c r="D6" s="7"/>
      <c r="E6" s="43"/>
      <c r="F6" s="44"/>
      <c r="G6" s="534"/>
      <c r="H6" s="208"/>
      <c r="I6" s="13"/>
      <c r="J6" s="45"/>
      <c r="K6" s="13"/>
      <c r="L6" s="534"/>
      <c r="M6" s="208"/>
      <c r="N6" s="13"/>
      <c r="O6" s="45"/>
      <c r="P6" s="13"/>
      <c r="Q6" s="534"/>
      <c r="R6" s="95"/>
      <c r="S6" s="13"/>
      <c r="T6" s="275"/>
      <c r="U6" s="280"/>
      <c r="V6" s="556"/>
      <c r="W6" s="95"/>
      <c r="X6" s="13"/>
      <c r="Y6" s="45"/>
      <c r="Z6" s="46"/>
      <c r="AA6" s="534"/>
      <c r="AB6" s="95"/>
      <c r="AC6" s="13"/>
      <c r="AD6" s="45"/>
      <c r="AE6" s="13"/>
      <c r="AF6" s="537"/>
      <c r="AG6" s="42"/>
      <c r="AH6" s="7"/>
      <c r="AI6" s="43"/>
      <c r="AJ6" s="44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</row>
    <row r="7" spans="1:86" s="91" customFormat="1" ht="18" hidden="1" customHeight="1">
      <c r="A7" s="537"/>
      <c r="B7" s="537"/>
      <c r="C7" s="42"/>
      <c r="D7" s="7"/>
      <c r="E7" s="43"/>
      <c r="F7" s="44"/>
      <c r="G7" s="534"/>
      <c r="H7" s="208"/>
      <c r="I7" s="13"/>
      <c r="J7" s="45"/>
      <c r="K7" s="13"/>
      <c r="L7" s="534"/>
      <c r="M7" s="208"/>
      <c r="N7" s="13"/>
      <c r="O7" s="45"/>
      <c r="P7" s="13"/>
      <c r="Q7" s="534"/>
      <c r="R7" s="95"/>
      <c r="S7" s="13"/>
      <c r="T7" s="275"/>
      <c r="U7" s="280"/>
      <c r="V7" s="556"/>
      <c r="W7" s="95"/>
      <c r="X7" s="13"/>
      <c r="Y7" s="45"/>
      <c r="Z7" s="46"/>
      <c r="AA7" s="534"/>
      <c r="AB7" s="95"/>
      <c r="AC7" s="13"/>
      <c r="AD7" s="45"/>
      <c r="AE7" s="13"/>
      <c r="AF7" s="537"/>
      <c r="AG7" s="42"/>
      <c r="AH7" s="7"/>
      <c r="AI7" s="43"/>
      <c r="AJ7" s="44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</row>
    <row r="8" spans="1:86" s="91" customFormat="1" ht="18" hidden="1" customHeight="1">
      <c r="A8" s="537"/>
      <c r="B8" s="537"/>
      <c r="C8" s="42"/>
      <c r="D8" s="7"/>
      <c r="E8" s="43"/>
      <c r="F8" s="44"/>
      <c r="G8" s="534"/>
      <c r="H8" s="208"/>
      <c r="I8" s="13"/>
      <c r="J8" s="45"/>
      <c r="K8" s="13"/>
      <c r="L8" s="534"/>
      <c r="M8" s="208"/>
      <c r="N8" s="13"/>
      <c r="O8" s="45"/>
      <c r="P8" s="13"/>
      <c r="Q8" s="534"/>
      <c r="R8" s="95"/>
      <c r="S8" s="13"/>
      <c r="T8" s="275"/>
      <c r="U8" s="280"/>
      <c r="V8" s="556"/>
      <c r="W8" s="95"/>
      <c r="X8" s="13"/>
      <c r="Y8" s="45"/>
      <c r="Z8" s="46"/>
      <c r="AA8" s="534"/>
      <c r="AB8" s="95"/>
      <c r="AC8" s="13"/>
      <c r="AD8" s="45"/>
      <c r="AE8" s="13"/>
      <c r="AF8" s="537"/>
      <c r="AG8" s="42"/>
      <c r="AH8" s="7"/>
      <c r="AI8" s="43"/>
      <c r="AJ8" s="44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91" customFormat="1" ht="18" hidden="1" customHeight="1">
      <c r="A9" s="537"/>
      <c r="B9" s="537"/>
      <c r="C9" s="42"/>
      <c r="D9" s="7"/>
      <c r="E9" s="43"/>
      <c r="F9" s="44"/>
      <c r="G9" s="534"/>
      <c r="H9" s="208"/>
      <c r="I9" s="13"/>
      <c r="J9" s="45"/>
      <c r="K9" s="13"/>
      <c r="L9" s="534"/>
      <c r="M9" s="208"/>
      <c r="N9" s="13"/>
      <c r="O9" s="45"/>
      <c r="P9" s="13"/>
      <c r="Q9" s="534"/>
      <c r="R9" s="95"/>
      <c r="S9" s="13"/>
      <c r="T9" s="275"/>
      <c r="U9" s="280"/>
      <c r="V9" s="556"/>
      <c r="W9" s="95"/>
      <c r="X9" s="13"/>
      <c r="Y9" s="45"/>
      <c r="Z9" s="46"/>
      <c r="AA9" s="534"/>
      <c r="AB9" s="95"/>
      <c r="AC9" s="13"/>
      <c r="AD9" s="45"/>
      <c r="AE9" s="13"/>
      <c r="AF9" s="537"/>
      <c r="AG9" s="42"/>
      <c r="AH9" s="7"/>
      <c r="AI9" s="43"/>
      <c r="AJ9" s="44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91" customFormat="1" ht="18" hidden="1" customHeight="1">
      <c r="A10" s="537"/>
      <c r="B10" s="537"/>
      <c r="C10" s="42"/>
      <c r="D10" s="7"/>
      <c r="E10" s="43"/>
      <c r="F10" s="44"/>
      <c r="G10" s="534"/>
      <c r="H10" s="208"/>
      <c r="I10" s="13"/>
      <c r="J10" s="45"/>
      <c r="K10" s="13"/>
      <c r="L10" s="534"/>
      <c r="M10" s="208"/>
      <c r="N10" s="13"/>
      <c r="O10" s="45"/>
      <c r="P10" s="13"/>
      <c r="Q10" s="534"/>
      <c r="R10" s="95"/>
      <c r="S10" s="13"/>
      <c r="T10" s="275"/>
      <c r="U10" s="280"/>
      <c r="V10" s="556"/>
      <c r="W10" s="95"/>
      <c r="X10" s="13"/>
      <c r="Y10" s="45"/>
      <c r="Z10" s="46"/>
      <c r="AA10" s="534"/>
      <c r="AB10" s="95"/>
      <c r="AC10" s="13"/>
      <c r="AD10" s="45"/>
      <c r="AE10" s="13"/>
      <c r="AF10" s="537"/>
      <c r="AG10" s="42"/>
      <c r="AH10" s="7"/>
      <c r="AI10" s="43"/>
      <c r="AJ10" s="44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s="91" customFormat="1" ht="18" hidden="1" customHeight="1">
      <c r="A11" s="537"/>
      <c r="B11" s="537"/>
      <c r="C11" s="42"/>
      <c r="D11" s="7"/>
      <c r="E11" s="43"/>
      <c r="F11" s="44"/>
      <c r="G11" s="534"/>
      <c r="H11" s="208"/>
      <c r="I11" s="13"/>
      <c r="J11" s="45"/>
      <c r="K11" s="13"/>
      <c r="L11" s="534"/>
      <c r="M11" s="208"/>
      <c r="N11" s="13"/>
      <c r="O11" s="45"/>
      <c r="P11" s="13"/>
      <c r="Q11" s="534"/>
      <c r="R11" s="95"/>
      <c r="S11" s="13"/>
      <c r="T11" s="275"/>
      <c r="U11" s="280"/>
      <c r="V11" s="556"/>
      <c r="W11" s="95"/>
      <c r="X11" s="13"/>
      <c r="Y11" s="45"/>
      <c r="Z11" s="46"/>
      <c r="AA11" s="534"/>
      <c r="AB11" s="95"/>
      <c r="AC11" s="13"/>
      <c r="AD11" s="45"/>
      <c r="AE11" s="13"/>
      <c r="AF11" s="537"/>
      <c r="AG11" s="42"/>
      <c r="AH11" s="7"/>
      <c r="AI11" s="43"/>
      <c r="AJ11" s="44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</row>
    <row r="12" spans="1:86" s="91" customFormat="1" ht="18" hidden="1" customHeight="1">
      <c r="A12" s="537"/>
      <c r="B12" s="537"/>
      <c r="C12" s="42"/>
      <c r="D12" s="7"/>
      <c r="E12" s="43"/>
      <c r="F12" s="44"/>
      <c r="G12" s="534"/>
      <c r="H12" s="208"/>
      <c r="I12" s="13"/>
      <c r="J12" s="45"/>
      <c r="K12" s="13"/>
      <c r="L12" s="534"/>
      <c r="M12" s="208"/>
      <c r="N12" s="13"/>
      <c r="O12" s="45"/>
      <c r="P12" s="13"/>
      <c r="Q12" s="534"/>
      <c r="R12" s="95"/>
      <c r="S12" s="13"/>
      <c r="T12" s="275"/>
      <c r="U12" s="280"/>
      <c r="V12" s="556"/>
      <c r="W12" s="95"/>
      <c r="X12" s="13"/>
      <c r="Y12" s="45"/>
      <c r="Z12" s="46"/>
      <c r="AA12" s="534"/>
      <c r="AB12" s="95"/>
      <c r="AC12" s="13"/>
      <c r="AD12" s="45"/>
      <c r="AE12" s="13"/>
      <c r="AF12" s="537"/>
      <c r="AG12" s="42"/>
      <c r="AH12" s="7"/>
      <c r="AI12" s="43"/>
      <c r="AJ12" s="44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</row>
    <row r="13" spans="1:86" s="91" customFormat="1" ht="18" hidden="1" customHeight="1">
      <c r="A13" s="537"/>
      <c r="B13" s="537"/>
      <c r="C13" s="42"/>
      <c r="D13" s="7"/>
      <c r="E13" s="43"/>
      <c r="F13" s="44"/>
      <c r="G13" s="534"/>
      <c r="H13" s="208"/>
      <c r="I13" s="13"/>
      <c r="J13" s="45"/>
      <c r="K13" s="13"/>
      <c r="L13" s="534"/>
      <c r="M13" s="208"/>
      <c r="N13" s="13"/>
      <c r="O13" s="45"/>
      <c r="P13" s="13"/>
      <c r="Q13" s="534"/>
      <c r="R13" s="95"/>
      <c r="S13" s="13"/>
      <c r="T13" s="275"/>
      <c r="U13" s="280"/>
      <c r="V13" s="556"/>
      <c r="W13" s="95"/>
      <c r="X13" s="13"/>
      <c r="Y13" s="45"/>
      <c r="Z13" s="46"/>
      <c r="AA13" s="534"/>
      <c r="AB13" s="95"/>
      <c r="AC13" s="13"/>
      <c r="AD13" s="45"/>
      <c r="AE13" s="13"/>
      <c r="AF13" s="537"/>
      <c r="AG13" s="42"/>
      <c r="AH13" s="7"/>
      <c r="AI13" s="43"/>
      <c r="AJ13" s="44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</row>
    <row r="14" spans="1:86" s="91" customFormat="1" ht="18" hidden="1" customHeight="1">
      <c r="A14" s="537"/>
      <c r="B14" s="537"/>
      <c r="C14" s="42"/>
      <c r="D14" s="7"/>
      <c r="E14" s="43"/>
      <c r="F14" s="44"/>
      <c r="G14" s="534"/>
      <c r="H14" s="208"/>
      <c r="I14" s="13"/>
      <c r="J14" s="45"/>
      <c r="K14" s="13"/>
      <c r="L14" s="534"/>
      <c r="M14" s="208"/>
      <c r="N14" s="13"/>
      <c r="O14" s="45"/>
      <c r="P14" s="13"/>
      <c r="Q14" s="534"/>
      <c r="R14" s="95"/>
      <c r="S14" s="13"/>
      <c r="T14" s="275"/>
      <c r="U14" s="280"/>
      <c r="V14" s="556"/>
      <c r="W14" s="95"/>
      <c r="X14" s="13"/>
      <c r="Y14" s="45"/>
      <c r="Z14" s="46"/>
      <c r="AA14" s="534"/>
      <c r="AB14" s="95"/>
      <c r="AC14" s="13"/>
      <c r="AD14" s="45"/>
      <c r="AE14" s="13"/>
      <c r="AF14" s="537"/>
      <c r="AG14" s="42"/>
      <c r="AH14" s="7"/>
      <c r="AI14" s="43"/>
      <c r="AJ14" s="4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</row>
    <row r="15" spans="1:86" s="91" customFormat="1" ht="18" hidden="1" customHeight="1">
      <c r="A15" s="537"/>
      <c r="B15" s="537"/>
      <c r="C15" s="42"/>
      <c r="D15" s="7"/>
      <c r="E15" s="43"/>
      <c r="F15" s="44"/>
      <c r="G15" s="534"/>
      <c r="H15" s="208"/>
      <c r="I15" s="13"/>
      <c r="J15" s="45"/>
      <c r="K15" s="13"/>
      <c r="L15" s="534"/>
      <c r="M15" s="208"/>
      <c r="N15" s="13"/>
      <c r="O15" s="45"/>
      <c r="P15" s="13"/>
      <c r="Q15" s="534"/>
      <c r="R15" s="95"/>
      <c r="S15" s="13"/>
      <c r="T15" s="275"/>
      <c r="U15" s="280"/>
      <c r="V15" s="556"/>
      <c r="W15" s="95"/>
      <c r="X15" s="13"/>
      <c r="Y15" s="45"/>
      <c r="Z15" s="46"/>
      <c r="AA15" s="534"/>
      <c r="AB15" s="95"/>
      <c r="AC15" s="13"/>
      <c r="AD15" s="45"/>
      <c r="AE15" s="13"/>
      <c r="AF15" s="537"/>
      <c r="AG15" s="42"/>
      <c r="AH15" s="7"/>
      <c r="AI15" s="43"/>
      <c r="AJ15" s="44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</row>
    <row r="16" spans="1:86" s="91" customFormat="1" ht="18" hidden="1" customHeight="1">
      <c r="A16" s="537"/>
      <c r="B16" s="537"/>
      <c r="C16" s="42"/>
      <c r="D16" s="7"/>
      <c r="E16" s="43"/>
      <c r="F16" s="44"/>
      <c r="G16" s="534"/>
      <c r="H16" s="208"/>
      <c r="I16" s="13"/>
      <c r="J16" s="45"/>
      <c r="K16" s="13"/>
      <c r="L16" s="534"/>
      <c r="M16" s="208"/>
      <c r="N16" s="13"/>
      <c r="O16" s="45"/>
      <c r="P16" s="13"/>
      <c r="Q16" s="534"/>
      <c r="R16" s="95"/>
      <c r="S16" s="13"/>
      <c r="T16" s="275"/>
      <c r="U16" s="280"/>
      <c r="V16" s="556"/>
      <c r="W16" s="95"/>
      <c r="X16" s="13"/>
      <c r="Y16" s="45"/>
      <c r="Z16" s="46"/>
      <c r="AA16" s="534"/>
      <c r="AB16" s="95"/>
      <c r="AC16" s="13"/>
      <c r="AD16" s="45"/>
      <c r="AE16" s="13"/>
      <c r="AF16" s="537"/>
      <c r="AG16" s="42"/>
      <c r="AH16" s="7"/>
      <c r="AI16" s="43"/>
      <c r="AJ16" s="44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</row>
    <row r="17" spans="1:86" s="91" customFormat="1" ht="18" hidden="1" customHeight="1">
      <c r="A17" s="537"/>
      <c r="B17" s="537"/>
      <c r="C17" s="42"/>
      <c r="D17" s="7"/>
      <c r="E17" s="43"/>
      <c r="F17" s="44"/>
      <c r="G17" s="534"/>
      <c r="H17" s="208"/>
      <c r="I17" s="13"/>
      <c r="J17" s="45"/>
      <c r="K17" s="13"/>
      <c r="L17" s="534"/>
      <c r="M17" s="208"/>
      <c r="N17" s="13"/>
      <c r="O17" s="45"/>
      <c r="P17" s="13"/>
      <c r="Q17" s="534"/>
      <c r="R17" s="95"/>
      <c r="S17" s="13"/>
      <c r="T17" s="275"/>
      <c r="U17" s="280"/>
      <c r="V17" s="556"/>
      <c r="W17" s="95"/>
      <c r="X17" s="13"/>
      <c r="Y17" s="45"/>
      <c r="Z17" s="46"/>
      <c r="AA17" s="534"/>
      <c r="AB17" s="95"/>
      <c r="AC17" s="13"/>
      <c r="AD17" s="45"/>
      <c r="AE17" s="13"/>
      <c r="AF17" s="537"/>
      <c r="AG17" s="42"/>
      <c r="AH17" s="7"/>
      <c r="AI17" s="43"/>
      <c r="AJ17" s="44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</row>
    <row r="18" spans="1:86" s="91" customFormat="1" ht="18" hidden="1" customHeight="1">
      <c r="A18" s="537"/>
      <c r="B18" s="538"/>
      <c r="C18" s="47"/>
      <c r="D18" s="48"/>
      <c r="E18" s="49"/>
      <c r="F18" s="50"/>
      <c r="G18" s="535"/>
      <c r="H18" s="323"/>
      <c r="I18" s="14"/>
      <c r="J18" s="40"/>
      <c r="K18" s="14"/>
      <c r="L18" s="535"/>
      <c r="M18" s="323"/>
      <c r="N18" s="14"/>
      <c r="O18" s="40"/>
      <c r="P18" s="14"/>
      <c r="Q18" s="535"/>
      <c r="R18" s="96"/>
      <c r="S18" s="14"/>
      <c r="T18" s="274"/>
      <c r="U18" s="281"/>
      <c r="V18" s="557"/>
      <c r="W18" s="96"/>
      <c r="X18" s="14"/>
      <c r="Y18" s="40"/>
      <c r="Z18" s="41"/>
      <c r="AA18" s="535"/>
      <c r="AB18" s="96"/>
      <c r="AC18" s="14"/>
      <c r="AD18" s="40"/>
      <c r="AE18" s="14"/>
      <c r="AF18" s="538"/>
      <c r="AG18" s="47"/>
      <c r="AH18" s="48"/>
      <c r="AI18" s="49"/>
      <c r="AJ18" s="50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</row>
    <row r="19" spans="1:86" s="91" customFormat="1" ht="18" hidden="1" customHeight="1">
      <c r="A19" s="539" t="s">
        <v>47</v>
      </c>
      <c r="B19" s="528"/>
      <c r="C19" s="187"/>
      <c r="D19" s="188"/>
      <c r="E19" s="189"/>
      <c r="F19" s="190"/>
      <c r="G19" s="545"/>
      <c r="H19" s="95"/>
      <c r="I19" s="13"/>
      <c r="J19" s="276"/>
      <c r="K19" s="278"/>
      <c r="L19" s="548"/>
      <c r="M19" s="95"/>
      <c r="N19" s="13"/>
      <c r="O19" s="276"/>
      <c r="P19" s="278"/>
      <c r="Q19" s="548"/>
      <c r="R19" s="95"/>
      <c r="S19" s="13"/>
      <c r="T19" s="276"/>
      <c r="U19" s="278"/>
      <c r="V19" s="548"/>
      <c r="W19" s="95"/>
      <c r="X19" s="13"/>
      <c r="Y19" s="276"/>
      <c r="Z19" s="278"/>
      <c r="AA19" s="548"/>
      <c r="AB19" s="95"/>
      <c r="AC19" s="13"/>
      <c r="AD19" s="276"/>
      <c r="AE19" s="278"/>
      <c r="AF19" s="528"/>
      <c r="AG19" s="191"/>
      <c r="AH19" s="192"/>
      <c r="AI19" s="193"/>
      <c r="AJ19" s="190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</row>
    <row r="20" spans="1:86" s="91" customFormat="1" ht="18" hidden="1" customHeight="1">
      <c r="A20" s="540"/>
      <c r="B20" s="529"/>
      <c r="C20" s="194"/>
      <c r="D20" s="195"/>
      <c r="E20" s="196"/>
      <c r="F20" s="197"/>
      <c r="G20" s="546"/>
      <c r="H20" s="95"/>
      <c r="I20" s="13"/>
      <c r="J20" s="276"/>
      <c r="K20" s="268"/>
      <c r="L20" s="549"/>
      <c r="M20" s="95"/>
      <c r="N20" s="13"/>
      <c r="O20" s="276"/>
      <c r="P20" s="268"/>
      <c r="Q20" s="549"/>
      <c r="R20" s="95"/>
      <c r="S20" s="13"/>
      <c r="T20" s="276"/>
      <c r="U20" s="268"/>
      <c r="V20" s="549"/>
      <c r="W20" s="95"/>
      <c r="X20" s="13"/>
      <c r="Y20" s="276"/>
      <c r="Z20" s="268"/>
      <c r="AA20" s="549"/>
      <c r="AB20" s="95"/>
      <c r="AC20" s="13"/>
      <c r="AD20" s="276"/>
      <c r="AE20" s="268"/>
      <c r="AF20" s="529"/>
      <c r="AG20" s="198"/>
      <c r="AH20" s="199"/>
      <c r="AI20" s="200"/>
      <c r="AJ20" s="197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86" s="91" customFormat="1" ht="18" hidden="1" customHeight="1">
      <c r="A21" s="540"/>
      <c r="B21" s="529"/>
      <c r="C21" s="194"/>
      <c r="D21" s="195"/>
      <c r="E21" s="196"/>
      <c r="F21" s="197"/>
      <c r="G21" s="546"/>
      <c r="H21" s="95"/>
      <c r="I21" s="13"/>
      <c r="J21" s="276"/>
      <c r="K21" s="268"/>
      <c r="L21" s="549"/>
      <c r="M21" s="95"/>
      <c r="N21" s="13"/>
      <c r="O21" s="276"/>
      <c r="P21" s="268"/>
      <c r="Q21" s="549"/>
      <c r="R21" s="95"/>
      <c r="S21" s="13"/>
      <c r="T21" s="276"/>
      <c r="U21" s="268"/>
      <c r="V21" s="549"/>
      <c r="W21" s="95"/>
      <c r="X21" s="13"/>
      <c r="Y21" s="276"/>
      <c r="Z21" s="268"/>
      <c r="AA21" s="549"/>
      <c r="AB21" s="95"/>
      <c r="AC21" s="13"/>
      <c r="AD21" s="276"/>
      <c r="AE21" s="268"/>
      <c r="AF21" s="529"/>
      <c r="AG21" s="198"/>
      <c r="AH21" s="199"/>
      <c r="AI21" s="200"/>
      <c r="AJ21" s="197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86" s="91" customFormat="1" ht="18" hidden="1" customHeight="1">
      <c r="A22" s="540"/>
      <c r="B22" s="529"/>
      <c r="C22" s="194"/>
      <c r="D22" s="195"/>
      <c r="E22" s="196"/>
      <c r="F22" s="197"/>
      <c r="G22" s="546"/>
      <c r="H22" s="95"/>
      <c r="I22" s="13"/>
      <c r="J22" s="276"/>
      <c r="K22" s="268"/>
      <c r="L22" s="549"/>
      <c r="M22" s="95"/>
      <c r="N22" s="13"/>
      <c r="O22" s="276"/>
      <c r="P22" s="268"/>
      <c r="Q22" s="549"/>
      <c r="R22" s="95"/>
      <c r="S22" s="13"/>
      <c r="T22" s="276"/>
      <c r="U22" s="268"/>
      <c r="V22" s="549"/>
      <c r="W22" s="95"/>
      <c r="X22" s="13"/>
      <c r="Y22" s="276"/>
      <c r="Z22" s="268"/>
      <c r="AA22" s="549"/>
      <c r="AB22" s="95"/>
      <c r="AC22" s="13"/>
      <c r="AD22" s="276"/>
      <c r="AE22" s="268"/>
      <c r="AF22" s="529"/>
      <c r="AG22" s="198"/>
      <c r="AH22" s="199"/>
      <c r="AI22" s="200"/>
      <c r="AJ22" s="197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86" s="91" customFormat="1" ht="18" hidden="1" customHeight="1">
      <c r="A23" s="540"/>
      <c r="B23" s="529"/>
      <c r="C23" s="194"/>
      <c r="D23" s="195"/>
      <c r="E23" s="196"/>
      <c r="F23" s="197"/>
      <c r="G23" s="546"/>
      <c r="H23" s="95"/>
      <c r="I23" s="13"/>
      <c r="J23" s="276"/>
      <c r="K23" s="268"/>
      <c r="L23" s="549"/>
      <c r="M23" s="95"/>
      <c r="N23" s="13"/>
      <c r="O23" s="276"/>
      <c r="P23" s="268"/>
      <c r="Q23" s="549"/>
      <c r="R23" s="95"/>
      <c r="S23" s="13"/>
      <c r="T23" s="276"/>
      <c r="U23" s="268"/>
      <c r="V23" s="549"/>
      <c r="W23" s="95"/>
      <c r="X23" s="13"/>
      <c r="Y23" s="276"/>
      <c r="Z23" s="268"/>
      <c r="AA23" s="549"/>
      <c r="AB23" s="95"/>
      <c r="AC23" s="13"/>
      <c r="AD23" s="276"/>
      <c r="AE23" s="268"/>
      <c r="AF23" s="529"/>
      <c r="AG23" s="198"/>
      <c r="AH23" s="199"/>
      <c r="AI23" s="200"/>
      <c r="AJ23" s="197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</row>
    <row r="24" spans="1:86" s="91" customFormat="1" ht="18" hidden="1" customHeight="1">
      <c r="A24" s="540"/>
      <c r="B24" s="529"/>
      <c r="C24" s="194"/>
      <c r="D24" s="195"/>
      <c r="E24" s="196"/>
      <c r="F24" s="197"/>
      <c r="G24" s="546"/>
      <c r="H24" s="95"/>
      <c r="I24" s="13"/>
      <c r="J24" s="276"/>
      <c r="K24" s="268"/>
      <c r="L24" s="549"/>
      <c r="M24" s="95"/>
      <c r="N24" s="13"/>
      <c r="O24" s="276"/>
      <c r="P24" s="268"/>
      <c r="Q24" s="549"/>
      <c r="R24" s="95"/>
      <c r="S24" s="13"/>
      <c r="T24" s="276"/>
      <c r="U24" s="268"/>
      <c r="V24" s="549"/>
      <c r="W24" s="95"/>
      <c r="X24" s="13"/>
      <c r="Y24" s="276"/>
      <c r="Z24" s="268"/>
      <c r="AA24" s="549"/>
      <c r="AB24" s="95"/>
      <c r="AC24" s="13"/>
      <c r="AD24" s="276"/>
      <c r="AE24" s="268"/>
      <c r="AF24" s="529"/>
      <c r="AG24" s="198"/>
      <c r="AH24" s="199"/>
      <c r="AI24" s="200"/>
      <c r="AJ24" s="197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</row>
    <row r="25" spans="1:86" s="91" customFormat="1" ht="18" hidden="1" customHeight="1">
      <c r="A25" s="540"/>
      <c r="B25" s="529"/>
      <c r="C25" s="194"/>
      <c r="D25" s="195"/>
      <c r="E25" s="196"/>
      <c r="F25" s="197"/>
      <c r="G25" s="546"/>
      <c r="H25" s="95"/>
      <c r="I25" s="13"/>
      <c r="J25" s="276"/>
      <c r="K25" s="268"/>
      <c r="L25" s="549"/>
      <c r="M25" s="95"/>
      <c r="N25" s="13"/>
      <c r="O25" s="276"/>
      <c r="P25" s="268"/>
      <c r="Q25" s="549"/>
      <c r="R25" s="95"/>
      <c r="S25" s="13"/>
      <c r="T25" s="276"/>
      <c r="U25" s="268"/>
      <c r="V25" s="549"/>
      <c r="W25" s="95"/>
      <c r="X25" s="13"/>
      <c r="Y25" s="276"/>
      <c r="Z25" s="268"/>
      <c r="AA25" s="549"/>
      <c r="AB25" s="95"/>
      <c r="AC25" s="13"/>
      <c r="AD25" s="276"/>
      <c r="AE25" s="268"/>
      <c r="AF25" s="529"/>
      <c r="AG25" s="198"/>
      <c r="AH25" s="199"/>
      <c r="AI25" s="200"/>
      <c r="AJ25" s="197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</row>
    <row r="26" spans="1:86" s="91" customFormat="1" ht="18" hidden="1" customHeight="1">
      <c r="A26" s="540"/>
      <c r="B26" s="529"/>
      <c r="C26" s="194"/>
      <c r="D26" s="195"/>
      <c r="E26" s="196"/>
      <c r="F26" s="197"/>
      <c r="G26" s="546"/>
      <c r="H26" s="95"/>
      <c r="I26" s="13"/>
      <c r="J26" s="276"/>
      <c r="K26" s="268"/>
      <c r="L26" s="549"/>
      <c r="M26" s="95"/>
      <c r="N26" s="13"/>
      <c r="O26" s="276"/>
      <c r="P26" s="268"/>
      <c r="Q26" s="549"/>
      <c r="R26" s="95"/>
      <c r="S26" s="13"/>
      <c r="T26" s="276"/>
      <c r="U26" s="268"/>
      <c r="V26" s="549"/>
      <c r="W26" s="95"/>
      <c r="X26" s="13"/>
      <c r="Y26" s="276"/>
      <c r="Z26" s="268"/>
      <c r="AA26" s="549"/>
      <c r="AB26" s="95"/>
      <c r="AC26" s="13"/>
      <c r="AD26" s="276"/>
      <c r="AE26" s="268"/>
      <c r="AF26" s="529"/>
      <c r="AG26" s="198"/>
      <c r="AH26" s="199"/>
      <c r="AI26" s="200"/>
      <c r="AJ26" s="197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</row>
    <row r="27" spans="1:86" s="91" customFormat="1" ht="18" hidden="1" customHeight="1">
      <c r="A27" s="540"/>
      <c r="B27" s="529"/>
      <c r="C27" s="194"/>
      <c r="D27" s="195"/>
      <c r="E27" s="196"/>
      <c r="F27" s="197"/>
      <c r="G27" s="546"/>
      <c r="H27" s="95"/>
      <c r="I27" s="13"/>
      <c r="J27" s="276"/>
      <c r="K27" s="268"/>
      <c r="L27" s="549"/>
      <c r="M27" s="95"/>
      <c r="N27" s="13"/>
      <c r="O27" s="276"/>
      <c r="P27" s="268"/>
      <c r="Q27" s="549"/>
      <c r="R27" s="95"/>
      <c r="S27" s="13"/>
      <c r="T27" s="276"/>
      <c r="U27" s="268"/>
      <c r="V27" s="549"/>
      <c r="W27" s="95"/>
      <c r="X27" s="13"/>
      <c r="Y27" s="276"/>
      <c r="Z27" s="268"/>
      <c r="AA27" s="549"/>
      <c r="AB27" s="95"/>
      <c r="AC27" s="13"/>
      <c r="AD27" s="276"/>
      <c r="AE27" s="268"/>
      <c r="AF27" s="529"/>
      <c r="AG27" s="198"/>
      <c r="AH27" s="199"/>
      <c r="AI27" s="200"/>
      <c r="AJ27" s="19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</row>
    <row r="28" spans="1:86" s="91" customFormat="1" ht="18" hidden="1" customHeight="1">
      <c r="A28" s="540"/>
      <c r="B28" s="529"/>
      <c r="C28" s="194"/>
      <c r="D28" s="195"/>
      <c r="E28" s="196"/>
      <c r="F28" s="197"/>
      <c r="G28" s="546"/>
      <c r="H28" s="95"/>
      <c r="I28" s="13"/>
      <c r="J28" s="276"/>
      <c r="K28" s="268"/>
      <c r="L28" s="549"/>
      <c r="M28" s="95"/>
      <c r="N28" s="13"/>
      <c r="O28" s="276"/>
      <c r="P28" s="268"/>
      <c r="Q28" s="549"/>
      <c r="R28" s="95"/>
      <c r="S28" s="13"/>
      <c r="T28" s="276"/>
      <c r="U28" s="268"/>
      <c r="V28" s="549"/>
      <c r="W28" s="95"/>
      <c r="X28" s="13"/>
      <c r="Y28" s="276"/>
      <c r="Z28" s="268"/>
      <c r="AA28" s="549"/>
      <c r="AB28" s="95"/>
      <c r="AC28" s="13"/>
      <c r="AD28" s="276"/>
      <c r="AE28" s="268"/>
      <c r="AF28" s="529"/>
      <c r="AG28" s="198"/>
      <c r="AH28" s="199"/>
      <c r="AI28" s="200"/>
      <c r="AJ28" s="197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</row>
    <row r="29" spans="1:86" s="91" customFormat="1" ht="18" hidden="1" customHeight="1">
      <c r="A29" s="540"/>
      <c r="B29" s="529"/>
      <c r="C29" s="194"/>
      <c r="D29" s="195"/>
      <c r="E29" s="196"/>
      <c r="F29" s="197"/>
      <c r="G29" s="546"/>
      <c r="H29" s="95"/>
      <c r="I29" s="13"/>
      <c r="J29" s="276"/>
      <c r="K29" s="268"/>
      <c r="L29" s="549"/>
      <c r="M29" s="95"/>
      <c r="N29" s="13"/>
      <c r="O29" s="276"/>
      <c r="P29" s="268"/>
      <c r="Q29" s="549"/>
      <c r="R29" s="95"/>
      <c r="S29" s="13"/>
      <c r="T29" s="276"/>
      <c r="U29" s="268"/>
      <c r="V29" s="549"/>
      <c r="W29" s="95"/>
      <c r="X29" s="13"/>
      <c r="Y29" s="276"/>
      <c r="Z29" s="268"/>
      <c r="AA29" s="549"/>
      <c r="AB29" s="95"/>
      <c r="AC29" s="13"/>
      <c r="AD29" s="276"/>
      <c r="AE29" s="268"/>
      <c r="AF29" s="529"/>
      <c r="AG29" s="198"/>
      <c r="AH29" s="199"/>
      <c r="AI29" s="200"/>
      <c r="AJ29" s="197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</row>
    <row r="30" spans="1:86" s="91" customFormat="1" ht="18" hidden="1" customHeight="1">
      <c r="A30" s="540"/>
      <c r="B30" s="529"/>
      <c r="C30" s="194"/>
      <c r="D30" s="195"/>
      <c r="E30" s="196"/>
      <c r="F30" s="197"/>
      <c r="G30" s="546"/>
      <c r="H30" s="95"/>
      <c r="I30" s="13"/>
      <c r="J30" s="276"/>
      <c r="K30" s="268"/>
      <c r="L30" s="549"/>
      <c r="M30" s="95"/>
      <c r="N30" s="13"/>
      <c r="O30" s="276"/>
      <c r="P30" s="268"/>
      <c r="Q30" s="549"/>
      <c r="R30" s="95"/>
      <c r="S30" s="13"/>
      <c r="T30" s="276"/>
      <c r="U30" s="268"/>
      <c r="V30" s="549"/>
      <c r="W30" s="95"/>
      <c r="X30" s="13"/>
      <c r="Y30" s="276"/>
      <c r="Z30" s="268"/>
      <c r="AA30" s="549"/>
      <c r="AB30" s="95"/>
      <c r="AC30" s="13"/>
      <c r="AD30" s="276"/>
      <c r="AE30" s="268"/>
      <c r="AF30" s="529"/>
      <c r="AG30" s="198"/>
      <c r="AH30" s="199"/>
      <c r="AI30" s="200"/>
      <c r="AJ30" s="197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</row>
    <row r="31" spans="1:86" s="91" customFormat="1" ht="18" hidden="1" customHeight="1">
      <c r="A31" s="540"/>
      <c r="B31" s="529"/>
      <c r="C31" s="194"/>
      <c r="D31" s="195"/>
      <c r="E31" s="196"/>
      <c r="F31" s="197"/>
      <c r="G31" s="546"/>
      <c r="H31" s="95"/>
      <c r="I31" s="13"/>
      <c r="J31" s="276"/>
      <c r="K31" s="268"/>
      <c r="L31" s="549"/>
      <c r="M31" s="95"/>
      <c r="N31" s="13"/>
      <c r="O31" s="276"/>
      <c r="P31" s="268"/>
      <c r="Q31" s="549"/>
      <c r="R31" s="95"/>
      <c r="S31" s="13"/>
      <c r="T31" s="276"/>
      <c r="U31" s="268"/>
      <c r="V31" s="549"/>
      <c r="W31" s="95"/>
      <c r="X31" s="13"/>
      <c r="Y31" s="276"/>
      <c r="Z31" s="268"/>
      <c r="AA31" s="549"/>
      <c r="AB31" s="95"/>
      <c r="AC31" s="13"/>
      <c r="AD31" s="276"/>
      <c r="AE31" s="268"/>
      <c r="AF31" s="529"/>
      <c r="AG31" s="198"/>
      <c r="AH31" s="199"/>
      <c r="AI31" s="200"/>
      <c r="AJ31" s="197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</row>
    <row r="32" spans="1:86" s="91" customFormat="1" ht="18" hidden="1" customHeight="1">
      <c r="A32" s="540"/>
      <c r="B32" s="529"/>
      <c r="C32" s="194"/>
      <c r="D32" s="195"/>
      <c r="E32" s="196"/>
      <c r="F32" s="197"/>
      <c r="G32" s="546"/>
      <c r="H32" s="95"/>
      <c r="I32" s="13"/>
      <c r="J32" s="276"/>
      <c r="K32" s="268"/>
      <c r="L32" s="549"/>
      <c r="M32" s="95"/>
      <c r="N32" s="13"/>
      <c r="O32" s="276"/>
      <c r="P32" s="268"/>
      <c r="Q32" s="549"/>
      <c r="R32" s="95"/>
      <c r="S32" s="13"/>
      <c r="T32" s="276"/>
      <c r="U32" s="268"/>
      <c r="V32" s="549"/>
      <c r="W32" s="95"/>
      <c r="X32" s="13"/>
      <c r="Y32" s="276"/>
      <c r="Z32" s="268"/>
      <c r="AA32" s="549"/>
      <c r="AB32" s="95"/>
      <c r="AC32" s="13"/>
      <c r="AD32" s="276"/>
      <c r="AE32" s="268"/>
      <c r="AF32" s="529"/>
      <c r="AG32" s="198"/>
      <c r="AH32" s="199"/>
      <c r="AI32" s="200"/>
      <c r="AJ32" s="197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</row>
    <row r="33" spans="1:86" s="91" customFormat="1" ht="18" hidden="1" customHeight="1">
      <c r="A33" s="541"/>
      <c r="B33" s="530"/>
      <c r="C33" s="201"/>
      <c r="D33" s="202"/>
      <c r="E33" s="203"/>
      <c r="F33" s="204"/>
      <c r="G33" s="547"/>
      <c r="H33" s="95"/>
      <c r="I33" s="13"/>
      <c r="J33" s="276"/>
      <c r="K33" s="268"/>
      <c r="L33" s="550"/>
      <c r="M33" s="95"/>
      <c r="N33" s="13"/>
      <c r="O33" s="276"/>
      <c r="P33" s="269"/>
      <c r="Q33" s="550"/>
      <c r="R33" s="95"/>
      <c r="S33" s="13"/>
      <c r="T33" s="276"/>
      <c r="U33" s="269"/>
      <c r="V33" s="550"/>
      <c r="W33" s="95"/>
      <c r="X33" s="13"/>
      <c r="Y33" s="276"/>
      <c r="Z33" s="269"/>
      <c r="AA33" s="550"/>
      <c r="AB33" s="95"/>
      <c r="AC33" s="13"/>
      <c r="AD33" s="276"/>
      <c r="AE33" s="269"/>
      <c r="AF33" s="530"/>
      <c r="AG33" s="205"/>
      <c r="AH33" s="206"/>
      <c r="AI33" s="207"/>
      <c r="AJ33" s="204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</row>
    <row r="34" spans="1:86" s="91" customFormat="1" ht="18" customHeight="1">
      <c r="A34" s="539" t="s">
        <v>48</v>
      </c>
      <c r="B34" s="528"/>
      <c r="C34" s="187"/>
      <c r="D34" s="188"/>
      <c r="E34" s="189"/>
      <c r="F34" s="190"/>
      <c r="G34" s="567" t="s">
        <v>200</v>
      </c>
      <c r="H34" s="11"/>
      <c r="I34" s="9"/>
      <c r="J34" s="253"/>
      <c r="K34" s="223" t="s">
        <v>0</v>
      </c>
      <c r="L34" s="572" t="s">
        <v>359</v>
      </c>
      <c r="M34" s="376" t="s">
        <v>92</v>
      </c>
      <c r="N34" s="377" t="s">
        <v>96</v>
      </c>
      <c r="O34" s="378">
        <f>MROUND(50*O$2/1000,3)</f>
        <v>93</v>
      </c>
      <c r="P34" s="379" t="s">
        <v>0</v>
      </c>
      <c r="Q34" s="567" t="s">
        <v>202</v>
      </c>
      <c r="R34" s="327" t="s">
        <v>121</v>
      </c>
      <c r="S34" s="9"/>
      <c r="T34" s="253">
        <f>MROUND(35*T$2/1000,3)</f>
        <v>66</v>
      </c>
      <c r="U34" s="332" t="s">
        <v>0</v>
      </c>
      <c r="V34" s="567" t="s">
        <v>203</v>
      </c>
      <c r="W34" s="327" t="s">
        <v>283</v>
      </c>
      <c r="X34" s="9" t="s">
        <v>284</v>
      </c>
      <c r="Y34" s="253">
        <f>MROUND(37*Y$2/1000,3)</f>
        <v>69</v>
      </c>
      <c r="Z34" s="332" t="s">
        <v>5</v>
      </c>
      <c r="AA34" s="572" t="s">
        <v>357</v>
      </c>
      <c r="AB34" s="376" t="s">
        <v>92</v>
      </c>
      <c r="AC34" s="377" t="s">
        <v>1</v>
      </c>
      <c r="AD34" s="378">
        <f>MROUND(75*AD$2/1000,3)</f>
        <v>141</v>
      </c>
      <c r="AE34" s="379" t="s">
        <v>0</v>
      </c>
      <c r="AF34" s="528"/>
      <c r="AG34" s="191"/>
      <c r="AH34" s="192"/>
      <c r="AI34" s="193"/>
      <c r="AJ34" s="190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</row>
    <row r="35" spans="1:86" s="91" customFormat="1" ht="18" customHeight="1">
      <c r="A35" s="540"/>
      <c r="B35" s="529"/>
      <c r="C35" s="194"/>
      <c r="D35" s="195"/>
      <c r="E35" s="196"/>
      <c r="F35" s="197"/>
      <c r="G35" s="568"/>
      <c r="H35" s="12"/>
      <c r="I35" s="13"/>
      <c r="J35" s="254"/>
      <c r="K35" s="255" t="s">
        <v>0</v>
      </c>
      <c r="L35" s="573"/>
      <c r="M35" s="373" t="s">
        <v>360</v>
      </c>
      <c r="N35" s="380" t="s">
        <v>96</v>
      </c>
      <c r="O35" s="374">
        <f>MROUND(45*O$2/1000,3)</f>
        <v>84</v>
      </c>
      <c r="P35" s="375" t="s">
        <v>0</v>
      </c>
      <c r="Q35" s="568"/>
      <c r="R35" s="208" t="s">
        <v>108</v>
      </c>
      <c r="S35" s="13"/>
      <c r="T35" s="254">
        <f>ROUND(20*T$2/1000,0)</f>
        <v>38</v>
      </c>
      <c r="U35" s="333" t="s">
        <v>0</v>
      </c>
      <c r="V35" s="568"/>
      <c r="W35" s="208" t="s">
        <v>285</v>
      </c>
      <c r="X35" s="13" t="s">
        <v>284</v>
      </c>
      <c r="Y35" s="254">
        <f>MROUND(40*Y$2/1000,18)</f>
        <v>72</v>
      </c>
      <c r="Z35" s="255" t="s">
        <v>5</v>
      </c>
      <c r="AA35" s="573"/>
      <c r="AB35" s="373" t="s">
        <v>144</v>
      </c>
      <c r="AC35" s="380" t="s">
        <v>1</v>
      </c>
      <c r="AD35" s="374">
        <f>ROUND(16.5*AD$2/1000,0)</f>
        <v>31</v>
      </c>
      <c r="AE35" s="375" t="s">
        <v>0</v>
      </c>
      <c r="AF35" s="529"/>
      <c r="AG35" s="198"/>
      <c r="AH35" s="199"/>
      <c r="AI35" s="200"/>
      <c r="AJ35" s="197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</row>
    <row r="36" spans="1:86" s="91" customFormat="1" ht="18" customHeight="1">
      <c r="A36" s="540"/>
      <c r="B36" s="529"/>
      <c r="C36" s="194"/>
      <c r="D36" s="195"/>
      <c r="E36" s="196"/>
      <c r="F36" s="197"/>
      <c r="G36" s="568"/>
      <c r="H36" s="12"/>
      <c r="I36" s="13"/>
      <c r="J36" s="254"/>
      <c r="K36" s="255" t="s">
        <v>0</v>
      </c>
      <c r="L36" s="573"/>
      <c r="M36" s="373" t="s">
        <v>338</v>
      </c>
      <c r="N36" s="380"/>
      <c r="O36" s="374">
        <f>ROUND(10*O$2/1000,0)</f>
        <v>19</v>
      </c>
      <c r="P36" s="375" t="s">
        <v>0</v>
      </c>
      <c r="Q36" s="568"/>
      <c r="R36" s="208" t="s">
        <v>126</v>
      </c>
      <c r="S36" s="13"/>
      <c r="T36" s="254">
        <f>ROUND(20*T$2/1000,0)</f>
        <v>38</v>
      </c>
      <c r="U36" s="333" t="s">
        <v>0</v>
      </c>
      <c r="V36" s="568"/>
      <c r="W36" s="208" t="s">
        <v>120</v>
      </c>
      <c r="X36" s="13"/>
      <c r="Y36" s="254">
        <f>ROUND(40*Y$2/1000,0)</f>
        <v>76</v>
      </c>
      <c r="Z36" s="255" t="s">
        <v>0</v>
      </c>
      <c r="AA36" s="573"/>
      <c r="AB36" s="373" t="s">
        <v>103</v>
      </c>
      <c r="AC36" s="380"/>
      <c r="AD36" s="374">
        <f>ROUND(10*AD$2/1000,0)</f>
        <v>19</v>
      </c>
      <c r="AE36" s="375" t="s">
        <v>0</v>
      </c>
      <c r="AF36" s="529"/>
      <c r="AG36" s="198"/>
      <c r="AH36" s="199"/>
      <c r="AI36" s="200"/>
      <c r="AJ36" s="197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</row>
    <row r="37" spans="1:86" s="91" customFormat="1" ht="18" customHeight="1">
      <c r="A37" s="540"/>
      <c r="B37" s="529"/>
      <c r="C37" s="194"/>
      <c r="D37" s="195"/>
      <c r="E37" s="196"/>
      <c r="F37" s="197"/>
      <c r="G37" s="568"/>
      <c r="H37" s="12"/>
      <c r="I37" s="13"/>
      <c r="J37" s="254"/>
      <c r="K37" s="255" t="s">
        <v>0</v>
      </c>
      <c r="L37" s="573"/>
      <c r="M37" s="435" t="s">
        <v>6</v>
      </c>
      <c r="N37" s="435"/>
      <c r="O37" s="436">
        <v>1</v>
      </c>
      <c r="P37" s="375" t="s">
        <v>0</v>
      </c>
      <c r="Q37" s="568"/>
      <c r="R37" s="208" t="s">
        <v>206</v>
      </c>
      <c r="S37" s="13"/>
      <c r="T37" s="254">
        <f>ROUND(15*T$2/1000,0)</f>
        <v>29</v>
      </c>
      <c r="U37" s="333" t="s">
        <v>0</v>
      </c>
      <c r="V37" s="568"/>
      <c r="W37" s="208" t="s">
        <v>98</v>
      </c>
      <c r="X37" s="13"/>
      <c r="Y37" s="254">
        <v>3</v>
      </c>
      <c r="Z37" s="255" t="s">
        <v>0</v>
      </c>
      <c r="AA37" s="573"/>
      <c r="AB37" s="373" t="s">
        <v>139</v>
      </c>
      <c r="AC37" s="380"/>
      <c r="AD37" s="374">
        <f>ROUND(10*AD$2/1000,0)</f>
        <v>19</v>
      </c>
      <c r="AE37" s="375" t="s">
        <v>0</v>
      </c>
      <c r="AF37" s="529"/>
      <c r="AG37" s="198"/>
      <c r="AH37" s="199"/>
      <c r="AI37" s="200"/>
      <c r="AJ37" s="19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</row>
    <row r="38" spans="1:86" s="91" customFormat="1" ht="18" customHeight="1">
      <c r="A38" s="540"/>
      <c r="B38" s="529"/>
      <c r="C38" s="194"/>
      <c r="D38" s="195"/>
      <c r="E38" s="196"/>
      <c r="F38" s="197"/>
      <c r="G38" s="568"/>
      <c r="H38" s="12"/>
      <c r="I38" s="13"/>
      <c r="J38" s="254"/>
      <c r="K38" s="255" t="s">
        <v>0</v>
      </c>
      <c r="L38" s="573"/>
      <c r="M38" s="373" t="s">
        <v>361</v>
      </c>
      <c r="N38" s="380"/>
      <c r="O38" s="374">
        <v>4</v>
      </c>
      <c r="P38" s="375" t="s">
        <v>21</v>
      </c>
      <c r="Q38" s="568"/>
      <c r="R38" s="208" t="s">
        <v>207</v>
      </c>
      <c r="S38" s="13"/>
      <c r="T38" s="254">
        <v>2</v>
      </c>
      <c r="U38" s="334" t="s">
        <v>27</v>
      </c>
      <c r="V38" s="568"/>
      <c r="W38" s="329" t="s">
        <v>163</v>
      </c>
      <c r="X38" s="113"/>
      <c r="Y38" s="256">
        <v>2.4</v>
      </c>
      <c r="Z38" s="255" t="s">
        <v>0</v>
      </c>
      <c r="AA38" s="573"/>
      <c r="AB38" s="373" t="s">
        <v>108</v>
      </c>
      <c r="AC38" s="380"/>
      <c r="AD38" s="374">
        <f>ROUND(7*AD$2/1000,0)</f>
        <v>13</v>
      </c>
      <c r="AE38" s="375" t="s">
        <v>0</v>
      </c>
      <c r="AF38" s="529"/>
      <c r="AG38" s="198"/>
      <c r="AH38" s="199"/>
      <c r="AI38" s="200"/>
      <c r="AJ38" s="197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</row>
    <row r="39" spans="1:86" s="91" customFormat="1" ht="18" customHeight="1">
      <c r="A39" s="540"/>
      <c r="B39" s="529"/>
      <c r="C39" s="194"/>
      <c r="D39" s="195"/>
      <c r="E39" s="196"/>
      <c r="F39" s="197"/>
      <c r="G39" s="568"/>
      <c r="H39" s="12"/>
      <c r="I39" s="13"/>
      <c r="J39" s="254"/>
      <c r="K39" s="255" t="s">
        <v>0</v>
      </c>
      <c r="L39" s="573"/>
      <c r="M39" s="373" t="s">
        <v>98</v>
      </c>
      <c r="N39" s="380"/>
      <c r="O39" s="374">
        <v>3</v>
      </c>
      <c r="P39" s="375" t="s">
        <v>0</v>
      </c>
      <c r="Q39" s="568"/>
      <c r="R39" s="208" t="s">
        <v>165</v>
      </c>
      <c r="S39" s="13"/>
      <c r="T39" s="254">
        <v>2</v>
      </c>
      <c r="U39" s="334" t="s">
        <v>27</v>
      </c>
      <c r="V39" s="568"/>
      <c r="W39" s="329" t="s">
        <v>172</v>
      </c>
      <c r="X39" s="113"/>
      <c r="Y39" s="256">
        <f>ROUND(13*25/1000,1)</f>
        <v>0.3</v>
      </c>
      <c r="Z39" s="255" t="s">
        <v>0</v>
      </c>
      <c r="AA39" s="573"/>
      <c r="AB39" s="381" t="s">
        <v>358</v>
      </c>
      <c r="AC39" s="382"/>
      <c r="AD39" s="383">
        <v>4</v>
      </c>
      <c r="AE39" s="375" t="s">
        <v>0</v>
      </c>
      <c r="AF39" s="529"/>
      <c r="AG39" s="198"/>
      <c r="AH39" s="199"/>
      <c r="AI39" s="200"/>
      <c r="AJ39" s="197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</row>
    <row r="40" spans="1:86" s="91" customFormat="1" ht="18" customHeight="1">
      <c r="A40" s="540"/>
      <c r="B40" s="529"/>
      <c r="C40" s="194"/>
      <c r="D40" s="195"/>
      <c r="E40" s="196"/>
      <c r="F40" s="197"/>
      <c r="G40" s="568"/>
      <c r="H40" s="12"/>
      <c r="I40" s="13"/>
      <c r="J40" s="254"/>
      <c r="K40" s="255" t="s">
        <v>0</v>
      </c>
      <c r="L40" s="573"/>
      <c r="M40" s="373" t="s">
        <v>304</v>
      </c>
      <c r="N40" s="380"/>
      <c r="O40" s="374">
        <v>3</v>
      </c>
      <c r="P40" s="375" t="s">
        <v>0</v>
      </c>
      <c r="Q40" s="568"/>
      <c r="R40" s="208" t="s">
        <v>208</v>
      </c>
      <c r="S40" s="13"/>
      <c r="T40" s="254">
        <v>1</v>
      </c>
      <c r="U40" s="334" t="s">
        <v>209</v>
      </c>
      <c r="V40" s="568"/>
      <c r="W40" s="208"/>
      <c r="X40" s="13"/>
      <c r="Y40" s="254"/>
      <c r="Z40" s="255" t="s">
        <v>0</v>
      </c>
      <c r="AA40" s="573"/>
      <c r="AB40" s="373" t="s">
        <v>94</v>
      </c>
      <c r="AC40" s="380" t="s">
        <v>95</v>
      </c>
      <c r="AD40" s="374">
        <v>2</v>
      </c>
      <c r="AE40" s="375" t="s">
        <v>0</v>
      </c>
      <c r="AF40" s="529"/>
      <c r="AG40" s="198"/>
      <c r="AH40" s="199"/>
      <c r="AI40" s="200"/>
      <c r="AJ40" s="197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</row>
    <row r="41" spans="1:86" s="91" customFormat="1" ht="18" customHeight="1">
      <c r="A41" s="540"/>
      <c r="B41" s="529"/>
      <c r="C41" s="194"/>
      <c r="D41" s="195"/>
      <c r="E41" s="196"/>
      <c r="F41" s="197"/>
      <c r="G41" s="568"/>
      <c r="H41" s="12"/>
      <c r="I41" s="13"/>
      <c r="J41" s="254"/>
      <c r="K41" s="255" t="s">
        <v>0</v>
      </c>
      <c r="L41" s="573"/>
      <c r="M41" s="437" t="s">
        <v>362</v>
      </c>
      <c r="N41" s="437"/>
      <c r="O41" s="438">
        <v>35</v>
      </c>
      <c r="P41" s="439" t="s">
        <v>135</v>
      </c>
      <c r="Q41" s="568"/>
      <c r="R41" s="208" t="s">
        <v>210</v>
      </c>
      <c r="S41" s="13"/>
      <c r="T41" s="254">
        <f>ROUND(8*T$2/1000,0)</f>
        <v>15</v>
      </c>
      <c r="U41" s="333" t="s">
        <v>0</v>
      </c>
      <c r="V41" s="568"/>
      <c r="W41" s="208"/>
      <c r="X41" s="13"/>
      <c r="Y41" s="254"/>
      <c r="Z41" s="255" t="s">
        <v>0</v>
      </c>
      <c r="AA41" s="573"/>
      <c r="AB41" s="373"/>
      <c r="AC41" s="380"/>
      <c r="AD41" s="374"/>
      <c r="AE41" s="375" t="s">
        <v>0</v>
      </c>
      <c r="AF41" s="529"/>
      <c r="AG41" s="198"/>
      <c r="AH41" s="199"/>
      <c r="AI41" s="200"/>
      <c r="AJ41" s="197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</row>
    <row r="42" spans="1:86" s="91" customFormat="1" ht="18" customHeight="1" thickBot="1">
      <c r="A42" s="540"/>
      <c r="B42" s="529"/>
      <c r="C42" s="194"/>
      <c r="D42" s="195"/>
      <c r="E42" s="196"/>
      <c r="F42" s="197"/>
      <c r="G42" s="568"/>
      <c r="H42" s="12"/>
      <c r="I42" s="13"/>
      <c r="J42" s="254"/>
      <c r="K42" s="255" t="s">
        <v>0</v>
      </c>
      <c r="L42" s="573"/>
      <c r="M42" s="373" t="s">
        <v>307</v>
      </c>
      <c r="N42" s="380"/>
      <c r="O42" s="374">
        <v>2</v>
      </c>
      <c r="P42" s="375" t="s">
        <v>0</v>
      </c>
      <c r="Q42" s="568"/>
      <c r="R42" s="329" t="s">
        <v>143</v>
      </c>
      <c r="S42" s="113"/>
      <c r="T42" s="256">
        <v>1</v>
      </c>
      <c r="U42" s="333" t="s">
        <v>0</v>
      </c>
      <c r="V42" s="568"/>
      <c r="W42" s="208"/>
      <c r="X42" s="13"/>
      <c r="Y42" s="254"/>
      <c r="Z42" s="255" t="s">
        <v>0</v>
      </c>
      <c r="AA42" s="573"/>
      <c r="AB42" s="322"/>
      <c r="AC42" s="14"/>
      <c r="AD42" s="419"/>
      <c r="AE42" s="54" t="s">
        <v>0</v>
      </c>
      <c r="AF42" s="529"/>
      <c r="AG42" s="198"/>
      <c r="AH42" s="199"/>
      <c r="AI42" s="200"/>
      <c r="AJ42" s="197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</row>
    <row r="43" spans="1:86" s="91" customFormat="1" ht="18" hidden="1" customHeight="1" thickBot="1">
      <c r="A43" s="540"/>
      <c r="B43" s="529"/>
      <c r="C43" s="194"/>
      <c r="D43" s="195"/>
      <c r="E43" s="196"/>
      <c r="F43" s="197"/>
      <c r="G43" s="568"/>
      <c r="H43" s="15"/>
      <c r="I43" s="14"/>
      <c r="J43" s="261"/>
      <c r="K43" s="257" t="s">
        <v>0</v>
      </c>
      <c r="L43" s="573"/>
      <c r="M43" s="94"/>
      <c r="N43" s="14"/>
      <c r="O43" s="261"/>
      <c r="P43" s="257" t="s">
        <v>0</v>
      </c>
      <c r="Q43" s="568"/>
      <c r="R43" s="329" t="s">
        <v>211</v>
      </c>
      <c r="S43" s="113"/>
      <c r="T43" s="256">
        <f>ROUND(20*26/1000,1)</f>
        <v>0.5</v>
      </c>
      <c r="U43" s="333" t="s">
        <v>0</v>
      </c>
      <c r="V43" s="568"/>
      <c r="W43" s="323"/>
      <c r="X43" s="14"/>
      <c r="Y43" s="261"/>
      <c r="Z43" s="257"/>
      <c r="AA43" s="573"/>
      <c r="AB43" s="208"/>
      <c r="AC43" s="13"/>
      <c r="AD43" s="254"/>
      <c r="AE43" s="257" t="s">
        <v>0</v>
      </c>
      <c r="AF43" s="529"/>
      <c r="AG43" s="198"/>
      <c r="AH43" s="199"/>
      <c r="AI43" s="200"/>
      <c r="AJ43" s="197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</row>
    <row r="44" spans="1:86" s="91" customFormat="1" ht="18" hidden="1" customHeight="1">
      <c r="A44" s="540"/>
      <c r="B44" s="529"/>
      <c r="C44" s="194"/>
      <c r="D44" s="195"/>
      <c r="E44" s="196"/>
      <c r="F44" s="197"/>
      <c r="G44" s="568"/>
      <c r="H44" s="13"/>
      <c r="I44" s="13"/>
      <c r="J44" s="254"/>
      <c r="K44" s="255"/>
      <c r="L44" s="573"/>
      <c r="M44" s="95"/>
      <c r="N44" s="13"/>
      <c r="O44" s="254"/>
      <c r="P44" s="255"/>
      <c r="Q44" s="568"/>
      <c r="R44" s="208"/>
      <c r="S44" s="13"/>
      <c r="T44" s="254"/>
      <c r="U44" s="333"/>
      <c r="V44" s="568"/>
      <c r="W44" s="208"/>
      <c r="X44" s="13"/>
      <c r="Y44" s="254"/>
      <c r="Z44" s="255"/>
      <c r="AA44" s="573"/>
      <c r="AB44" s="208"/>
      <c r="AC44" s="13"/>
      <c r="AD44" s="254"/>
      <c r="AE44" s="255"/>
      <c r="AF44" s="529"/>
      <c r="AG44" s="198"/>
      <c r="AH44" s="199"/>
      <c r="AI44" s="200"/>
      <c r="AJ44" s="197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</row>
    <row r="45" spans="1:86" s="91" customFormat="1" ht="18" hidden="1" customHeight="1">
      <c r="A45" s="540"/>
      <c r="B45" s="529"/>
      <c r="C45" s="194"/>
      <c r="D45" s="195"/>
      <c r="E45" s="196"/>
      <c r="F45" s="197"/>
      <c r="G45" s="568"/>
      <c r="H45" s="13"/>
      <c r="I45" s="13"/>
      <c r="J45" s="254"/>
      <c r="K45" s="255"/>
      <c r="L45" s="573"/>
      <c r="M45" s="95"/>
      <c r="N45" s="13"/>
      <c r="O45" s="254"/>
      <c r="P45" s="255"/>
      <c r="Q45" s="568"/>
      <c r="R45" s="208"/>
      <c r="S45" s="13"/>
      <c r="T45" s="254"/>
      <c r="U45" s="333"/>
      <c r="V45" s="568"/>
      <c r="W45" s="208"/>
      <c r="X45" s="13"/>
      <c r="Y45" s="254"/>
      <c r="Z45" s="255"/>
      <c r="AA45" s="573"/>
      <c r="AB45" s="208"/>
      <c r="AC45" s="13"/>
      <c r="AD45" s="254"/>
      <c r="AE45" s="255"/>
      <c r="AF45" s="529"/>
      <c r="AG45" s="198"/>
      <c r="AH45" s="199"/>
      <c r="AI45" s="200"/>
      <c r="AJ45" s="197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1:86" s="91" customFormat="1" ht="18" hidden="1" customHeight="1">
      <c r="A46" s="540"/>
      <c r="B46" s="529"/>
      <c r="C46" s="194"/>
      <c r="D46" s="195"/>
      <c r="E46" s="196"/>
      <c r="F46" s="197"/>
      <c r="G46" s="568"/>
      <c r="H46" s="13"/>
      <c r="I46" s="13"/>
      <c r="J46" s="254"/>
      <c r="K46" s="255"/>
      <c r="L46" s="573"/>
      <c r="M46" s="95"/>
      <c r="N46" s="13"/>
      <c r="O46" s="254"/>
      <c r="P46" s="255"/>
      <c r="Q46" s="568"/>
      <c r="R46" s="208"/>
      <c r="S46" s="13"/>
      <c r="T46" s="254"/>
      <c r="U46" s="333"/>
      <c r="V46" s="568"/>
      <c r="W46" s="208"/>
      <c r="X46" s="13"/>
      <c r="Y46" s="254"/>
      <c r="Z46" s="255"/>
      <c r="AA46" s="573"/>
      <c r="AB46" s="208"/>
      <c r="AC46" s="13"/>
      <c r="AD46" s="254"/>
      <c r="AE46" s="255"/>
      <c r="AF46" s="529"/>
      <c r="AG46" s="198"/>
      <c r="AH46" s="199"/>
      <c r="AI46" s="200"/>
      <c r="AJ46" s="197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</row>
    <row r="47" spans="1:86" s="91" customFormat="1" ht="18" hidden="1" customHeight="1">
      <c r="A47" s="540"/>
      <c r="B47" s="529"/>
      <c r="C47" s="194"/>
      <c r="D47" s="195"/>
      <c r="E47" s="196"/>
      <c r="F47" s="197"/>
      <c r="G47" s="568"/>
      <c r="H47" s="13"/>
      <c r="I47" s="13"/>
      <c r="J47" s="254"/>
      <c r="K47" s="255"/>
      <c r="L47" s="573"/>
      <c r="M47" s="95"/>
      <c r="N47" s="13"/>
      <c r="O47" s="254"/>
      <c r="P47" s="255"/>
      <c r="Q47" s="568"/>
      <c r="R47" s="208"/>
      <c r="S47" s="13"/>
      <c r="T47" s="254"/>
      <c r="U47" s="333"/>
      <c r="V47" s="568"/>
      <c r="W47" s="208"/>
      <c r="X47" s="13"/>
      <c r="Y47" s="254"/>
      <c r="Z47" s="255"/>
      <c r="AA47" s="573"/>
      <c r="AB47" s="208"/>
      <c r="AC47" s="13"/>
      <c r="AD47" s="254"/>
      <c r="AE47" s="255"/>
      <c r="AF47" s="529"/>
      <c r="AG47" s="198"/>
      <c r="AH47" s="199"/>
      <c r="AI47" s="200"/>
      <c r="AJ47" s="19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</row>
    <row r="48" spans="1:86" s="91" customFormat="1" ht="18" hidden="1" customHeight="1">
      <c r="A48" s="541"/>
      <c r="B48" s="530"/>
      <c r="C48" s="201"/>
      <c r="D48" s="202"/>
      <c r="E48" s="203"/>
      <c r="F48" s="204"/>
      <c r="G48" s="569"/>
      <c r="H48" s="13"/>
      <c r="I48" s="13"/>
      <c r="J48" s="254"/>
      <c r="K48" s="257"/>
      <c r="L48" s="574"/>
      <c r="M48" s="95"/>
      <c r="N48" s="13"/>
      <c r="O48" s="254"/>
      <c r="P48" s="257"/>
      <c r="Q48" s="569"/>
      <c r="R48" s="208"/>
      <c r="S48" s="13"/>
      <c r="T48" s="254"/>
      <c r="U48" s="336"/>
      <c r="V48" s="569"/>
      <c r="W48" s="208"/>
      <c r="X48" s="13"/>
      <c r="Y48" s="254"/>
      <c r="Z48" s="257"/>
      <c r="AA48" s="574"/>
      <c r="AB48" s="323"/>
      <c r="AC48" s="14"/>
      <c r="AD48" s="261"/>
      <c r="AE48" s="257"/>
      <c r="AF48" s="530"/>
      <c r="AG48" s="205"/>
      <c r="AH48" s="206"/>
      <c r="AI48" s="207"/>
      <c r="AJ48" s="204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</row>
    <row r="49" spans="1:86" s="91" customFormat="1" ht="18" customHeight="1">
      <c r="A49" s="539" t="s">
        <v>49</v>
      </c>
      <c r="B49" s="528"/>
      <c r="C49" s="187"/>
      <c r="D49" s="188"/>
      <c r="E49" s="189"/>
      <c r="F49" s="190"/>
      <c r="G49" s="561"/>
      <c r="H49" s="93"/>
      <c r="I49" s="9"/>
      <c r="J49" s="253"/>
      <c r="K49" s="267"/>
      <c r="L49" s="561"/>
      <c r="M49" s="575" t="s">
        <v>397</v>
      </c>
      <c r="N49" s="576"/>
      <c r="O49" s="576"/>
      <c r="P49" s="577"/>
      <c r="Q49" s="567" t="s">
        <v>288</v>
      </c>
      <c r="R49" s="99" t="s">
        <v>288</v>
      </c>
      <c r="S49" s="9"/>
      <c r="T49" s="253">
        <f>T2*1.03</f>
        <v>1957</v>
      </c>
      <c r="U49" s="331" t="s">
        <v>135</v>
      </c>
      <c r="V49" s="561"/>
      <c r="W49" s="99"/>
      <c r="X49" s="9"/>
      <c r="Y49" s="253"/>
      <c r="Z49" s="267"/>
      <c r="AA49" s="561"/>
      <c r="AB49" s="635" t="s">
        <v>403</v>
      </c>
      <c r="AC49" s="581"/>
      <c r="AD49" s="581"/>
      <c r="AE49" s="582"/>
      <c r="AF49" s="528"/>
      <c r="AG49" s="191"/>
      <c r="AH49" s="192"/>
      <c r="AI49" s="193"/>
      <c r="AJ49" s="190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</row>
    <row r="50" spans="1:86" s="91" customFormat="1" ht="18" customHeight="1">
      <c r="A50" s="540"/>
      <c r="B50" s="529"/>
      <c r="C50" s="194"/>
      <c r="D50" s="195"/>
      <c r="E50" s="196"/>
      <c r="F50" s="197"/>
      <c r="G50" s="562"/>
      <c r="H50" s="97"/>
      <c r="I50" s="13"/>
      <c r="J50" s="254"/>
      <c r="K50" s="255"/>
      <c r="L50" s="562"/>
      <c r="M50" s="578"/>
      <c r="N50" s="579"/>
      <c r="O50" s="579"/>
      <c r="P50" s="580"/>
      <c r="Q50" s="568"/>
      <c r="R50" s="95"/>
      <c r="S50" s="13"/>
      <c r="T50" s="254"/>
      <c r="U50" s="263"/>
      <c r="V50" s="562"/>
      <c r="W50" s="95"/>
      <c r="X50" s="13"/>
      <c r="Y50" s="254"/>
      <c r="Z50" s="255"/>
      <c r="AA50" s="562"/>
      <c r="AB50" s="583"/>
      <c r="AC50" s="584"/>
      <c r="AD50" s="584"/>
      <c r="AE50" s="585"/>
      <c r="AF50" s="529"/>
      <c r="AG50" s="198"/>
      <c r="AH50" s="199"/>
      <c r="AI50" s="200"/>
      <c r="AJ50" s="197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</row>
    <row r="51" spans="1:86" s="91" customFormat="1" ht="18" customHeight="1">
      <c r="A51" s="540"/>
      <c r="B51" s="529"/>
      <c r="C51" s="194"/>
      <c r="D51" s="195"/>
      <c r="E51" s="196"/>
      <c r="F51" s="197"/>
      <c r="G51" s="562"/>
      <c r="H51" s="97"/>
      <c r="I51" s="13"/>
      <c r="J51" s="254"/>
      <c r="K51" s="255"/>
      <c r="L51" s="562"/>
      <c r="M51" s="578"/>
      <c r="N51" s="579"/>
      <c r="O51" s="579"/>
      <c r="P51" s="580"/>
      <c r="Q51" s="568"/>
      <c r="R51" s="95"/>
      <c r="S51" s="13"/>
      <c r="T51" s="254"/>
      <c r="U51" s="255"/>
      <c r="V51" s="562"/>
      <c r="W51" s="95"/>
      <c r="X51" s="13"/>
      <c r="Y51" s="254"/>
      <c r="Z51" s="255"/>
      <c r="AA51" s="562"/>
      <c r="AB51" s="583"/>
      <c r="AC51" s="584"/>
      <c r="AD51" s="584"/>
      <c r="AE51" s="585"/>
      <c r="AF51" s="529"/>
      <c r="AG51" s="198"/>
      <c r="AH51" s="199"/>
      <c r="AI51" s="200"/>
      <c r="AJ51" s="197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</row>
    <row r="52" spans="1:86" s="91" customFormat="1" ht="18" customHeight="1">
      <c r="A52" s="540"/>
      <c r="B52" s="529"/>
      <c r="C52" s="194"/>
      <c r="D52" s="195"/>
      <c r="E52" s="196"/>
      <c r="F52" s="197"/>
      <c r="G52" s="562"/>
      <c r="H52" s="97"/>
      <c r="I52" s="13"/>
      <c r="J52" s="254"/>
      <c r="K52" s="255"/>
      <c r="L52" s="562"/>
      <c r="M52" s="578"/>
      <c r="N52" s="579"/>
      <c r="O52" s="579"/>
      <c r="P52" s="580"/>
      <c r="Q52" s="568"/>
      <c r="R52" s="95"/>
      <c r="S52" s="13"/>
      <c r="T52" s="254"/>
      <c r="U52" s="255"/>
      <c r="V52" s="562"/>
      <c r="W52" s="95"/>
      <c r="X52" s="13"/>
      <c r="Y52" s="254"/>
      <c r="Z52" s="255"/>
      <c r="AA52" s="562"/>
      <c r="AB52" s="583"/>
      <c r="AC52" s="584"/>
      <c r="AD52" s="584"/>
      <c r="AE52" s="585"/>
      <c r="AF52" s="529"/>
      <c r="AG52" s="198"/>
      <c r="AH52" s="199"/>
      <c r="AI52" s="200"/>
      <c r="AJ52" s="197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</row>
    <row r="53" spans="1:86" s="91" customFormat="1" ht="18" customHeight="1" thickBot="1">
      <c r="A53" s="540"/>
      <c r="B53" s="529"/>
      <c r="C53" s="194"/>
      <c r="D53" s="195"/>
      <c r="E53" s="196"/>
      <c r="F53" s="197"/>
      <c r="G53" s="562"/>
      <c r="H53" s="97"/>
      <c r="I53" s="13"/>
      <c r="J53" s="254"/>
      <c r="K53" s="255"/>
      <c r="L53" s="562"/>
      <c r="M53" s="95"/>
      <c r="N53" s="13"/>
      <c r="O53" s="254"/>
      <c r="P53" s="255"/>
      <c r="Q53" s="568"/>
      <c r="R53" s="95"/>
      <c r="S53" s="13"/>
      <c r="T53" s="254"/>
      <c r="U53" s="255"/>
      <c r="V53" s="562"/>
      <c r="W53" s="95"/>
      <c r="X53" s="13"/>
      <c r="Y53" s="254"/>
      <c r="Z53" s="255"/>
      <c r="AA53" s="562"/>
      <c r="AB53" s="95"/>
      <c r="AC53" s="13"/>
      <c r="AD53" s="254"/>
      <c r="AE53" s="255"/>
      <c r="AF53" s="529"/>
      <c r="AG53" s="198"/>
      <c r="AH53" s="199"/>
      <c r="AI53" s="200"/>
      <c r="AJ53" s="197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</row>
    <row r="54" spans="1:86" s="91" customFormat="1" ht="18" hidden="1" customHeight="1" thickBot="1">
      <c r="A54" s="540"/>
      <c r="B54" s="529"/>
      <c r="C54" s="194"/>
      <c r="D54" s="195"/>
      <c r="E54" s="196"/>
      <c r="F54" s="197"/>
      <c r="G54" s="562"/>
      <c r="H54" s="97"/>
      <c r="I54" s="13"/>
      <c r="J54" s="254"/>
      <c r="K54" s="255"/>
      <c r="L54" s="562"/>
      <c r="M54" s="95"/>
      <c r="N54" s="13"/>
      <c r="O54" s="254"/>
      <c r="P54" s="255"/>
      <c r="Q54" s="568"/>
      <c r="R54" s="95"/>
      <c r="S54" s="13"/>
      <c r="T54" s="254"/>
      <c r="U54" s="255"/>
      <c r="V54" s="562"/>
      <c r="W54" s="95"/>
      <c r="X54" s="13"/>
      <c r="Y54" s="254"/>
      <c r="Z54" s="255"/>
      <c r="AA54" s="562"/>
      <c r="AB54" s="95"/>
      <c r="AC54" s="13"/>
      <c r="AD54" s="254"/>
      <c r="AE54" s="255"/>
      <c r="AF54" s="529"/>
      <c r="AG54" s="198"/>
      <c r="AH54" s="199"/>
      <c r="AI54" s="200"/>
      <c r="AJ54" s="197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</row>
    <row r="55" spans="1:86" s="91" customFormat="1" ht="18" hidden="1" customHeight="1">
      <c r="A55" s="540"/>
      <c r="B55" s="529"/>
      <c r="C55" s="194"/>
      <c r="D55" s="195"/>
      <c r="E55" s="196"/>
      <c r="F55" s="197"/>
      <c r="G55" s="562"/>
      <c r="H55" s="97"/>
      <c r="I55" s="13"/>
      <c r="J55" s="254"/>
      <c r="K55" s="255"/>
      <c r="L55" s="562"/>
      <c r="M55" s="95"/>
      <c r="N55" s="13"/>
      <c r="O55" s="254"/>
      <c r="P55" s="255"/>
      <c r="Q55" s="568"/>
      <c r="R55" s="95"/>
      <c r="S55" s="13"/>
      <c r="T55" s="254"/>
      <c r="U55" s="255"/>
      <c r="V55" s="562"/>
      <c r="W55" s="95"/>
      <c r="X55" s="13"/>
      <c r="Y55" s="254"/>
      <c r="Z55" s="255"/>
      <c r="AA55" s="562"/>
      <c r="AB55" s="95"/>
      <c r="AC55" s="13"/>
      <c r="AD55" s="254"/>
      <c r="AE55" s="255"/>
      <c r="AF55" s="529"/>
      <c r="AG55" s="198"/>
      <c r="AH55" s="199"/>
      <c r="AI55" s="200"/>
      <c r="AJ55" s="197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</row>
    <row r="56" spans="1:86" s="91" customFormat="1" ht="18" hidden="1" customHeight="1">
      <c r="A56" s="540"/>
      <c r="B56" s="529"/>
      <c r="C56" s="194"/>
      <c r="D56" s="195"/>
      <c r="E56" s="196"/>
      <c r="F56" s="197"/>
      <c r="G56" s="562"/>
      <c r="H56" s="97"/>
      <c r="I56" s="13"/>
      <c r="J56" s="254"/>
      <c r="K56" s="255"/>
      <c r="L56" s="562"/>
      <c r="M56" s="95"/>
      <c r="N56" s="13"/>
      <c r="O56" s="254"/>
      <c r="P56" s="255"/>
      <c r="Q56" s="568"/>
      <c r="R56" s="95"/>
      <c r="S56" s="13"/>
      <c r="T56" s="254"/>
      <c r="U56" s="255"/>
      <c r="V56" s="562"/>
      <c r="W56" s="95"/>
      <c r="X56" s="13"/>
      <c r="Y56" s="254"/>
      <c r="Z56" s="255"/>
      <c r="AA56" s="562"/>
      <c r="AB56" s="95"/>
      <c r="AC56" s="13"/>
      <c r="AD56" s="254"/>
      <c r="AE56" s="255"/>
      <c r="AF56" s="529"/>
      <c r="AG56" s="198"/>
      <c r="AH56" s="199"/>
      <c r="AI56" s="200"/>
      <c r="AJ56" s="197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</row>
    <row r="57" spans="1:86" s="91" customFormat="1" ht="18" hidden="1" customHeight="1">
      <c r="A57" s="540"/>
      <c r="B57" s="529"/>
      <c r="C57" s="194"/>
      <c r="D57" s="195"/>
      <c r="E57" s="196"/>
      <c r="F57" s="197"/>
      <c r="G57" s="562"/>
      <c r="H57" s="97"/>
      <c r="I57" s="13"/>
      <c r="J57" s="254"/>
      <c r="K57" s="255"/>
      <c r="L57" s="562"/>
      <c r="M57" s="95"/>
      <c r="N57" s="13"/>
      <c r="O57" s="254"/>
      <c r="P57" s="255"/>
      <c r="Q57" s="568"/>
      <c r="R57" s="95"/>
      <c r="S57" s="13"/>
      <c r="T57" s="254"/>
      <c r="U57" s="255"/>
      <c r="V57" s="562"/>
      <c r="W57" s="95"/>
      <c r="X57" s="13"/>
      <c r="Y57" s="254"/>
      <c r="Z57" s="255"/>
      <c r="AA57" s="562"/>
      <c r="AB57" s="95"/>
      <c r="AC57" s="13"/>
      <c r="AD57" s="254"/>
      <c r="AE57" s="255"/>
      <c r="AF57" s="529"/>
      <c r="AG57" s="198"/>
      <c r="AH57" s="199"/>
      <c r="AI57" s="200"/>
      <c r="AJ57" s="19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</row>
    <row r="58" spans="1:86" s="91" customFormat="1" ht="18" hidden="1" customHeight="1">
      <c r="A58" s="540"/>
      <c r="B58" s="529"/>
      <c r="C58" s="194"/>
      <c r="D58" s="195"/>
      <c r="E58" s="196"/>
      <c r="F58" s="197"/>
      <c r="G58" s="562"/>
      <c r="H58" s="97"/>
      <c r="I58" s="13"/>
      <c r="J58" s="254"/>
      <c r="K58" s="255"/>
      <c r="L58" s="562"/>
      <c r="M58" s="95"/>
      <c r="N58" s="13"/>
      <c r="O58" s="254"/>
      <c r="P58" s="255"/>
      <c r="Q58" s="568"/>
      <c r="R58" s="95"/>
      <c r="S58" s="13"/>
      <c r="T58" s="254"/>
      <c r="U58" s="255"/>
      <c r="V58" s="562"/>
      <c r="W58" s="95"/>
      <c r="X58" s="13"/>
      <c r="Y58" s="254"/>
      <c r="Z58" s="255"/>
      <c r="AA58" s="562"/>
      <c r="AB58" s="95"/>
      <c r="AC58" s="13"/>
      <c r="AD58" s="254"/>
      <c r="AE58" s="255"/>
      <c r="AF58" s="529"/>
      <c r="AG58" s="198"/>
      <c r="AH58" s="199"/>
      <c r="AI58" s="200"/>
      <c r="AJ58" s="197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</row>
    <row r="59" spans="1:86" s="91" customFormat="1" ht="18" hidden="1" customHeight="1">
      <c r="A59" s="540"/>
      <c r="B59" s="529"/>
      <c r="C59" s="194"/>
      <c r="D59" s="195"/>
      <c r="E59" s="196"/>
      <c r="F59" s="197"/>
      <c r="G59" s="562"/>
      <c r="H59" s="97"/>
      <c r="I59" s="13"/>
      <c r="J59" s="254"/>
      <c r="K59" s="255"/>
      <c r="L59" s="562"/>
      <c r="M59" s="95"/>
      <c r="N59" s="13"/>
      <c r="O59" s="254"/>
      <c r="P59" s="255"/>
      <c r="Q59" s="568"/>
      <c r="R59" s="95"/>
      <c r="S59" s="13"/>
      <c r="T59" s="254"/>
      <c r="U59" s="255"/>
      <c r="V59" s="562"/>
      <c r="W59" s="95"/>
      <c r="X59" s="13"/>
      <c r="Y59" s="254"/>
      <c r="Z59" s="255"/>
      <c r="AA59" s="562"/>
      <c r="AB59" s="95"/>
      <c r="AC59" s="13"/>
      <c r="AD59" s="254"/>
      <c r="AE59" s="255"/>
      <c r="AF59" s="529"/>
      <c r="AG59" s="198"/>
      <c r="AH59" s="199"/>
      <c r="AI59" s="200"/>
      <c r="AJ59" s="197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</row>
    <row r="60" spans="1:86" s="91" customFormat="1" ht="18" hidden="1" customHeight="1">
      <c r="A60" s="540"/>
      <c r="B60" s="529"/>
      <c r="C60" s="194"/>
      <c r="D60" s="195"/>
      <c r="E60" s="196"/>
      <c r="F60" s="197"/>
      <c r="G60" s="562"/>
      <c r="H60" s="97"/>
      <c r="I60" s="13"/>
      <c r="J60" s="254"/>
      <c r="K60" s="255"/>
      <c r="L60" s="562"/>
      <c r="M60" s="95"/>
      <c r="N60" s="13"/>
      <c r="O60" s="254"/>
      <c r="P60" s="255"/>
      <c r="Q60" s="568"/>
      <c r="R60" s="95"/>
      <c r="S60" s="13"/>
      <c r="T60" s="254"/>
      <c r="U60" s="255"/>
      <c r="V60" s="562"/>
      <c r="W60" s="95"/>
      <c r="X60" s="13"/>
      <c r="Y60" s="254"/>
      <c r="Z60" s="255"/>
      <c r="AA60" s="562"/>
      <c r="AB60" s="95"/>
      <c r="AC60" s="13"/>
      <c r="AD60" s="254"/>
      <c r="AE60" s="255"/>
      <c r="AF60" s="529"/>
      <c r="AG60" s="198"/>
      <c r="AH60" s="199"/>
      <c r="AI60" s="200"/>
      <c r="AJ60" s="197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</row>
    <row r="61" spans="1:86" s="91" customFormat="1" ht="18" hidden="1" customHeight="1">
      <c r="A61" s="540"/>
      <c r="B61" s="529"/>
      <c r="C61" s="194"/>
      <c r="D61" s="195"/>
      <c r="E61" s="196"/>
      <c r="F61" s="197"/>
      <c r="G61" s="562"/>
      <c r="H61" s="97"/>
      <c r="I61" s="13"/>
      <c r="J61" s="254"/>
      <c r="K61" s="255"/>
      <c r="L61" s="562"/>
      <c r="M61" s="95"/>
      <c r="N61" s="13"/>
      <c r="O61" s="254"/>
      <c r="P61" s="255"/>
      <c r="Q61" s="568"/>
      <c r="R61" s="95"/>
      <c r="S61" s="13"/>
      <c r="T61" s="254"/>
      <c r="U61" s="255"/>
      <c r="V61" s="562"/>
      <c r="W61" s="95"/>
      <c r="X61" s="13"/>
      <c r="Y61" s="254"/>
      <c r="Z61" s="255"/>
      <c r="AA61" s="562"/>
      <c r="AB61" s="95"/>
      <c r="AC61" s="13"/>
      <c r="AD61" s="254"/>
      <c r="AE61" s="255"/>
      <c r="AF61" s="529"/>
      <c r="AG61" s="198"/>
      <c r="AH61" s="199"/>
      <c r="AI61" s="200"/>
      <c r="AJ61" s="197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</row>
    <row r="62" spans="1:86" s="91" customFormat="1" ht="18" hidden="1" customHeight="1">
      <c r="A62" s="540"/>
      <c r="B62" s="529"/>
      <c r="C62" s="194"/>
      <c r="D62" s="195"/>
      <c r="E62" s="196"/>
      <c r="F62" s="197"/>
      <c r="G62" s="562"/>
      <c r="H62" s="97"/>
      <c r="I62" s="13"/>
      <c r="J62" s="254"/>
      <c r="K62" s="255"/>
      <c r="L62" s="562"/>
      <c r="M62" s="95"/>
      <c r="N62" s="13"/>
      <c r="O62" s="254"/>
      <c r="P62" s="255"/>
      <c r="Q62" s="568"/>
      <c r="R62" s="95"/>
      <c r="S62" s="13"/>
      <c r="T62" s="254"/>
      <c r="U62" s="255"/>
      <c r="V62" s="562"/>
      <c r="W62" s="95"/>
      <c r="X62" s="13"/>
      <c r="Y62" s="254"/>
      <c r="Z62" s="255"/>
      <c r="AA62" s="562"/>
      <c r="AB62" s="95"/>
      <c r="AC62" s="13"/>
      <c r="AD62" s="254"/>
      <c r="AE62" s="255"/>
      <c r="AF62" s="529"/>
      <c r="AG62" s="198"/>
      <c r="AH62" s="199"/>
      <c r="AI62" s="200"/>
      <c r="AJ62" s="197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</row>
    <row r="63" spans="1:86" s="91" customFormat="1" ht="18" hidden="1" customHeight="1">
      <c r="A63" s="541"/>
      <c r="B63" s="530"/>
      <c r="C63" s="201"/>
      <c r="D63" s="202"/>
      <c r="E63" s="203"/>
      <c r="F63" s="204"/>
      <c r="G63" s="563"/>
      <c r="H63" s="94"/>
      <c r="I63" s="14"/>
      <c r="J63" s="261"/>
      <c r="K63" s="257"/>
      <c r="L63" s="563"/>
      <c r="M63" s="96"/>
      <c r="N63" s="14"/>
      <c r="O63" s="261"/>
      <c r="P63" s="257"/>
      <c r="Q63" s="569"/>
      <c r="R63" s="96"/>
      <c r="S63" s="14"/>
      <c r="T63" s="261"/>
      <c r="U63" s="257"/>
      <c r="V63" s="563"/>
      <c r="W63" s="96"/>
      <c r="X63" s="14"/>
      <c r="Y63" s="261"/>
      <c r="Z63" s="257"/>
      <c r="AA63" s="563"/>
      <c r="AB63" s="96"/>
      <c r="AC63" s="14"/>
      <c r="AD63" s="261"/>
      <c r="AE63" s="257"/>
      <c r="AF63" s="530"/>
      <c r="AG63" s="205"/>
      <c r="AH63" s="206"/>
      <c r="AI63" s="207"/>
      <c r="AJ63" s="204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</row>
    <row r="64" spans="1:86" s="91" customFormat="1" ht="18" hidden="1" customHeight="1">
      <c r="A64" s="539" t="s">
        <v>50</v>
      </c>
      <c r="B64" s="528"/>
      <c r="C64" s="187"/>
      <c r="D64" s="188"/>
      <c r="E64" s="189"/>
      <c r="F64" s="190"/>
      <c r="G64" s="586"/>
      <c r="H64" s="95"/>
      <c r="I64" s="13"/>
      <c r="J64" s="254"/>
      <c r="K64" s="255"/>
      <c r="L64" s="562"/>
      <c r="M64" s="95"/>
      <c r="N64" s="13"/>
      <c r="O64" s="254"/>
      <c r="P64" s="255"/>
      <c r="Q64" s="562"/>
      <c r="R64" s="95"/>
      <c r="S64" s="13"/>
      <c r="T64" s="254"/>
      <c r="U64" s="255"/>
      <c r="V64" s="562"/>
      <c r="W64" s="95"/>
      <c r="X64" s="13"/>
      <c r="Y64" s="254"/>
      <c r="Z64" s="255"/>
      <c r="AA64" s="562"/>
      <c r="AB64" s="95"/>
      <c r="AC64" s="13"/>
      <c r="AD64" s="254"/>
      <c r="AE64" s="255"/>
      <c r="AF64" s="528"/>
      <c r="AG64" s="191"/>
      <c r="AH64" s="192"/>
      <c r="AI64" s="193"/>
      <c r="AJ64" s="190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</row>
    <row r="65" spans="1:86" s="91" customFormat="1" ht="18" hidden="1" customHeight="1">
      <c r="A65" s="540"/>
      <c r="B65" s="529"/>
      <c r="C65" s="194"/>
      <c r="D65" s="195"/>
      <c r="E65" s="196"/>
      <c r="F65" s="197"/>
      <c r="G65" s="587"/>
      <c r="H65" s="95"/>
      <c r="I65" s="13"/>
      <c r="J65" s="254"/>
      <c r="K65" s="255"/>
      <c r="L65" s="562"/>
      <c r="M65" s="95"/>
      <c r="N65" s="13"/>
      <c r="O65" s="254"/>
      <c r="P65" s="255"/>
      <c r="Q65" s="562"/>
      <c r="R65" s="95"/>
      <c r="S65" s="13"/>
      <c r="T65" s="254"/>
      <c r="U65" s="255"/>
      <c r="V65" s="562"/>
      <c r="W65" s="95"/>
      <c r="X65" s="13"/>
      <c r="Y65" s="254"/>
      <c r="Z65" s="255"/>
      <c r="AA65" s="562"/>
      <c r="AB65" s="95"/>
      <c r="AC65" s="13"/>
      <c r="AD65" s="254"/>
      <c r="AE65" s="255"/>
      <c r="AF65" s="529"/>
      <c r="AG65" s="198"/>
      <c r="AH65" s="199"/>
      <c r="AI65" s="200"/>
      <c r="AJ65" s="197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</row>
    <row r="66" spans="1:86" s="91" customFormat="1" ht="18" hidden="1" customHeight="1">
      <c r="A66" s="540"/>
      <c r="B66" s="529"/>
      <c r="C66" s="194"/>
      <c r="D66" s="195"/>
      <c r="E66" s="196"/>
      <c r="F66" s="197"/>
      <c r="G66" s="587"/>
      <c r="H66" s="95"/>
      <c r="I66" s="13"/>
      <c r="J66" s="254"/>
      <c r="K66" s="255"/>
      <c r="L66" s="562"/>
      <c r="M66" s="95"/>
      <c r="N66" s="13"/>
      <c r="O66" s="254"/>
      <c r="P66" s="255"/>
      <c r="Q66" s="562"/>
      <c r="R66" s="95"/>
      <c r="S66" s="13"/>
      <c r="T66" s="254"/>
      <c r="U66" s="255"/>
      <c r="V66" s="562"/>
      <c r="W66" s="95"/>
      <c r="X66" s="13"/>
      <c r="Y66" s="254"/>
      <c r="Z66" s="255"/>
      <c r="AA66" s="562"/>
      <c r="AB66" s="95"/>
      <c r="AC66" s="13"/>
      <c r="AD66" s="254"/>
      <c r="AE66" s="255"/>
      <c r="AF66" s="529"/>
      <c r="AG66" s="198"/>
      <c r="AH66" s="199"/>
      <c r="AI66" s="200"/>
      <c r="AJ66" s="197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</row>
    <row r="67" spans="1:86" s="91" customFormat="1" ht="18" hidden="1" customHeight="1">
      <c r="A67" s="540"/>
      <c r="B67" s="529"/>
      <c r="C67" s="194"/>
      <c r="D67" s="195"/>
      <c r="E67" s="196"/>
      <c r="F67" s="197"/>
      <c r="G67" s="587"/>
      <c r="H67" s="95"/>
      <c r="I67" s="13"/>
      <c r="J67" s="254"/>
      <c r="K67" s="255"/>
      <c r="L67" s="562"/>
      <c r="M67" s="95"/>
      <c r="N67" s="13"/>
      <c r="O67" s="254"/>
      <c r="P67" s="255"/>
      <c r="Q67" s="562"/>
      <c r="R67" s="95"/>
      <c r="S67" s="13"/>
      <c r="T67" s="254"/>
      <c r="U67" s="255"/>
      <c r="V67" s="562"/>
      <c r="W67" s="95"/>
      <c r="X67" s="13"/>
      <c r="Y67" s="254"/>
      <c r="Z67" s="255"/>
      <c r="AA67" s="562"/>
      <c r="AB67" s="95"/>
      <c r="AC67" s="13"/>
      <c r="AD67" s="254"/>
      <c r="AE67" s="255"/>
      <c r="AF67" s="529"/>
      <c r="AG67" s="198"/>
      <c r="AH67" s="199"/>
      <c r="AI67" s="200"/>
      <c r="AJ67" s="19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86" s="91" customFormat="1" ht="18" hidden="1" customHeight="1">
      <c r="A68" s="540"/>
      <c r="B68" s="529"/>
      <c r="C68" s="194"/>
      <c r="D68" s="195"/>
      <c r="E68" s="196"/>
      <c r="F68" s="197"/>
      <c r="G68" s="587"/>
      <c r="H68" s="95"/>
      <c r="I68" s="13"/>
      <c r="J68" s="254"/>
      <c r="K68" s="255"/>
      <c r="L68" s="562"/>
      <c r="M68" s="95"/>
      <c r="N68" s="13"/>
      <c r="O68" s="254"/>
      <c r="P68" s="255"/>
      <c r="Q68" s="562"/>
      <c r="R68" s="95"/>
      <c r="S68" s="13"/>
      <c r="T68" s="254"/>
      <c r="U68" s="255"/>
      <c r="V68" s="562"/>
      <c r="W68" s="95"/>
      <c r="X68" s="13"/>
      <c r="Y68" s="254"/>
      <c r="Z68" s="255"/>
      <c r="AA68" s="562"/>
      <c r="AB68" s="95"/>
      <c r="AC68" s="13"/>
      <c r="AD68" s="254"/>
      <c r="AE68" s="255"/>
      <c r="AF68" s="529"/>
      <c r="AG68" s="198"/>
      <c r="AH68" s="199"/>
      <c r="AI68" s="200"/>
      <c r="AJ68" s="197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</row>
    <row r="69" spans="1:86" s="91" customFormat="1" ht="18" hidden="1" customHeight="1">
      <c r="A69" s="540"/>
      <c r="B69" s="529"/>
      <c r="C69" s="194"/>
      <c r="D69" s="195"/>
      <c r="E69" s="196"/>
      <c r="F69" s="197"/>
      <c r="G69" s="587"/>
      <c r="H69" s="95"/>
      <c r="I69" s="13"/>
      <c r="J69" s="254"/>
      <c r="K69" s="255"/>
      <c r="L69" s="562"/>
      <c r="M69" s="95"/>
      <c r="N69" s="13"/>
      <c r="O69" s="254"/>
      <c r="P69" s="255"/>
      <c r="Q69" s="562"/>
      <c r="R69" s="95"/>
      <c r="S69" s="13"/>
      <c r="T69" s="254"/>
      <c r="U69" s="255"/>
      <c r="V69" s="562"/>
      <c r="W69" s="95"/>
      <c r="X69" s="13"/>
      <c r="Y69" s="254"/>
      <c r="Z69" s="255"/>
      <c r="AA69" s="562"/>
      <c r="AB69" s="95"/>
      <c r="AC69" s="13"/>
      <c r="AD69" s="254"/>
      <c r="AE69" s="255"/>
      <c r="AF69" s="529"/>
      <c r="AG69" s="198"/>
      <c r="AH69" s="199"/>
      <c r="AI69" s="200"/>
      <c r="AJ69" s="197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</row>
    <row r="70" spans="1:86" s="91" customFormat="1" ht="18" hidden="1" customHeight="1">
      <c r="A70" s="540"/>
      <c r="B70" s="529"/>
      <c r="C70" s="194"/>
      <c r="D70" s="195"/>
      <c r="E70" s="196"/>
      <c r="F70" s="197"/>
      <c r="G70" s="587"/>
      <c r="H70" s="95"/>
      <c r="I70" s="13"/>
      <c r="J70" s="254"/>
      <c r="K70" s="255"/>
      <c r="L70" s="562"/>
      <c r="M70" s="95"/>
      <c r="N70" s="13"/>
      <c r="O70" s="254"/>
      <c r="P70" s="255"/>
      <c r="Q70" s="562"/>
      <c r="R70" s="95"/>
      <c r="S70" s="13"/>
      <c r="T70" s="254"/>
      <c r="U70" s="255"/>
      <c r="V70" s="562"/>
      <c r="W70" s="95"/>
      <c r="X70" s="13"/>
      <c r="Y70" s="254"/>
      <c r="Z70" s="255"/>
      <c r="AA70" s="562"/>
      <c r="AB70" s="95"/>
      <c r="AC70" s="13"/>
      <c r="AD70" s="254"/>
      <c r="AE70" s="255"/>
      <c r="AF70" s="529"/>
      <c r="AG70" s="198"/>
      <c r="AH70" s="199"/>
      <c r="AI70" s="200"/>
      <c r="AJ70" s="197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</row>
    <row r="71" spans="1:86" s="91" customFormat="1" ht="18" hidden="1" customHeight="1">
      <c r="A71" s="540"/>
      <c r="B71" s="529"/>
      <c r="C71" s="194"/>
      <c r="D71" s="195"/>
      <c r="E71" s="196"/>
      <c r="F71" s="197"/>
      <c r="G71" s="587"/>
      <c r="H71" s="95"/>
      <c r="I71" s="13"/>
      <c r="J71" s="254"/>
      <c r="K71" s="255"/>
      <c r="L71" s="562"/>
      <c r="M71" s="95"/>
      <c r="N71" s="13"/>
      <c r="O71" s="254"/>
      <c r="P71" s="255"/>
      <c r="Q71" s="562"/>
      <c r="R71" s="95"/>
      <c r="S71" s="13"/>
      <c r="T71" s="254"/>
      <c r="U71" s="255"/>
      <c r="V71" s="562"/>
      <c r="W71" s="95"/>
      <c r="X71" s="13"/>
      <c r="Y71" s="254"/>
      <c r="Z71" s="255"/>
      <c r="AA71" s="562"/>
      <c r="AB71" s="95"/>
      <c r="AC71" s="13"/>
      <c r="AD71" s="254"/>
      <c r="AE71" s="255"/>
      <c r="AF71" s="529"/>
      <c r="AG71" s="198"/>
      <c r="AH71" s="199"/>
      <c r="AI71" s="200"/>
      <c r="AJ71" s="197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</row>
    <row r="72" spans="1:86" s="91" customFormat="1" ht="18" hidden="1" customHeight="1">
      <c r="A72" s="540"/>
      <c r="B72" s="529"/>
      <c r="C72" s="194"/>
      <c r="D72" s="195"/>
      <c r="E72" s="196"/>
      <c r="F72" s="197"/>
      <c r="G72" s="587"/>
      <c r="H72" s="95"/>
      <c r="I72" s="13"/>
      <c r="J72" s="254"/>
      <c r="K72" s="255"/>
      <c r="L72" s="562"/>
      <c r="M72" s="95"/>
      <c r="N72" s="13"/>
      <c r="O72" s="254"/>
      <c r="P72" s="255"/>
      <c r="Q72" s="562"/>
      <c r="R72" s="95"/>
      <c r="S72" s="13"/>
      <c r="T72" s="254"/>
      <c r="U72" s="255"/>
      <c r="V72" s="562"/>
      <c r="W72" s="95"/>
      <c r="X72" s="13"/>
      <c r="Y72" s="254"/>
      <c r="Z72" s="255"/>
      <c r="AA72" s="562"/>
      <c r="AB72" s="95"/>
      <c r="AC72" s="13"/>
      <c r="AD72" s="254"/>
      <c r="AE72" s="255"/>
      <c r="AF72" s="529"/>
      <c r="AG72" s="198"/>
      <c r="AH72" s="199"/>
      <c r="AI72" s="200"/>
      <c r="AJ72" s="197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</row>
    <row r="73" spans="1:86" s="91" customFormat="1" ht="18" hidden="1" customHeight="1">
      <c r="A73" s="540"/>
      <c r="B73" s="529"/>
      <c r="C73" s="194"/>
      <c r="D73" s="195"/>
      <c r="E73" s="196"/>
      <c r="F73" s="197"/>
      <c r="G73" s="587"/>
      <c r="H73" s="95"/>
      <c r="I73" s="13"/>
      <c r="J73" s="254"/>
      <c r="K73" s="255"/>
      <c r="L73" s="562"/>
      <c r="M73" s="95"/>
      <c r="N73" s="13"/>
      <c r="O73" s="254"/>
      <c r="P73" s="255"/>
      <c r="Q73" s="562"/>
      <c r="R73" s="95"/>
      <c r="S73" s="13"/>
      <c r="T73" s="254"/>
      <c r="U73" s="255"/>
      <c r="V73" s="562"/>
      <c r="W73" s="95"/>
      <c r="X73" s="13"/>
      <c r="Y73" s="254"/>
      <c r="Z73" s="255"/>
      <c r="AA73" s="562"/>
      <c r="AB73" s="95"/>
      <c r="AC73" s="13"/>
      <c r="AD73" s="254"/>
      <c r="AE73" s="255"/>
      <c r="AF73" s="529"/>
      <c r="AG73" s="198"/>
      <c r="AH73" s="199"/>
      <c r="AI73" s="200"/>
      <c r="AJ73" s="197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</row>
    <row r="74" spans="1:86" s="91" customFormat="1" ht="18" hidden="1" customHeight="1">
      <c r="A74" s="540"/>
      <c r="B74" s="529"/>
      <c r="C74" s="194"/>
      <c r="D74" s="195"/>
      <c r="E74" s="196"/>
      <c r="F74" s="197"/>
      <c r="G74" s="587"/>
      <c r="H74" s="95"/>
      <c r="I74" s="13"/>
      <c r="J74" s="254"/>
      <c r="K74" s="255"/>
      <c r="L74" s="562"/>
      <c r="M74" s="95"/>
      <c r="N74" s="13"/>
      <c r="O74" s="254"/>
      <c r="P74" s="255"/>
      <c r="Q74" s="562"/>
      <c r="R74" s="95"/>
      <c r="S74" s="13"/>
      <c r="T74" s="254"/>
      <c r="U74" s="255"/>
      <c r="V74" s="562"/>
      <c r="W74" s="95"/>
      <c r="X74" s="13"/>
      <c r="Y74" s="254"/>
      <c r="Z74" s="255"/>
      <c r="AA74" s="562"/>
      <c r="AB74" s="95"/>
      <c r="AC74" s="13"/>
      <c r="AD74" s="254"/>
      <c r="AE74" s="255"/>
      <c r="AF74" s="529"/>
      <c r="AG74" s="198"/>
      <c r="AH74" s="199"/>
      <c r="AI74" s="200"/>
      <c r="AJ74" s="197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</row>
    <row r="75" spans="1:86" s="91" customFormat="1" ht="18" hidden="1" customHeight="1">
      <c r="A75" s="540"/>
      <c r="B75" s="529"/>
      <c r="C75" s="194"/>
      <c r="D75" s="195"/>
      <c r="E75" s="196"/>
      <c r="F75" s="197"/>
      <c r="G75" s="587"/>
      <c r="H75" s="95"/>
      <c r="I75" s="13"/>
      <c r="J75" s="254"/>
      <c r="K75" s="255"/>
      <c r="L75" s="562"/>
      <c r="M75" s="95"/>
      <c r="N75" s="13"/>
      <c r="O75" s="254"/>
      <c r="P75" s="255"/>
      <c r="Q75" s="562"/>
      <c r="R75" s="95"/>
      <c r="S75" s="13"/>
      <c r="T75" s="254"/>
      <c r="U75" s="255"/>
      <c r="V75" s="562"/>
      <c r="W75" s="95"/>
      <c r="X75" s="13"/>
      <c r="Y75" s="254"/>
      <c r="Z75" s="255"/>
      <c r="AA75" s="562"/>
      <c r="AB75" s="95"/>
      <c r="AC75" s="13"/>
      <c r="AD75" s="254"/>
      <c r="AE75" s="255"/>
      <c r="AF75" s="529"/>
      <c r="AG75" s="198"/>
      <c r="AH75" s="199"/>
      <c r="AI75" s="200"/>
      <c r="AJ75" s="197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</row>
    <row r="76" spans="1:86" s="91" customFormat="1" ht="18" hidden="1" customHeight="1">
      <c r="A76" s="540"/>
      <c r="B76" s="529"/>
      <c r="C76" s="194"/>
      <c r="D76" s="195"/>
      <c r="E76" s="196"/>
      <c r="F76" s="197"/>
      <c r="G76" s="587"/>
      <c r="H76" s="95"/>
      <c r="I76" s="13"/>
      <c r="J76" s="254"/>
      <c r="K76" s="255"/>
      <c r="L76" s="562"/>
      <c r="M76" s="95"/>
      <c r="N76" s="13"/>
      <c r="O76" s="254"/>
      <c r="P76" s="255"/>
      <c r="Q76" s="562"/>
      <c r="R76" s="95"/>
      <c r="S76" s="13"/>
      <c r="T76" s="254"/>
      <c r="U76" s="255"/>
      <c r="V76" s="562"/>
      <c r="W76" s="95"/>
      <c r="X76" s="13"/>
      <c r="Y76" s="254"/>
      <c r="Z76" s="255"/>
      <c r="AA76" s="562"/>
      <c r="AB76" s="95"/>
      <c r="AC76" s="13"/>
      <c r="AD76" s="254"/>
      <c r="AE76" s="255"/>
      <c r="AF76" s="529"/>
      <c r="AG76" s="198"/>
      <c r="AH76" s="199"/>
      <c r="AI76" s="200"/>
      <c r="AJ76" s="197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</row>
    <row r="77" spans="1:86" s="91" customFormat="1" ht="18" hidden="1" customHeight="1">
      <c r="A77" s="540"/>
      <c r="B77" s="529"/>
      <c r="C77" s="194"/>
      <c r="D77" s="195"/>
      <c r="E77" s="196"/>
      <c r="F77" s="197"/>
      <c r="G77" s="587"/>
      <c r="H77" s="95"/>
      <c r="I77" s="13"/>
      <c r="J77" s="254"/>
      <c r="K77" s="255"/>
      <c r="L77" s="562"/>
      <c r="M77" s="95"/>
      <c r="N77" s="13"/>
      <c r="O77" s="254"/>
      <c r="P77" s="255"/>
      <c r="Q77" s="562"/>
      <c r="R77" s="95"/>
      <c r="S77" s="13"/>
      <c r="T77" s="254"/>
      <c r="U77" s="255"/>
      <c r="V77" s="562"/>
      <c r="W77" s="95"/>
      <c r="X77" s="13"/>
      <c r="Y77" s="254"/>
      <c r="Z77" s="255"/>
      <c r="AA77" s="562"/>
      <c r="AB77" s="95"/>
      <c r="AC77" s="13"/>
      <c r="AD77" s="254"/>
      <c r="AE77" s="255"/>
      <c r="AF77" s="529"/>
      <c r="AG77" s="198"/>
      <c r="AH77" s="199"/>
      <c r="AI77" s="200"/>
      <c r="AJ77" s="19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</row>
    <row r="78" spans="1:86" s="91" customFormat="1" ht="18" hidden="1" customHeight="1">
      <c r="A78" s="541"/>
      <c r="B78" s="530"/>
      <c r="C78" s="201"/>
      <c r="D78" s="202"/>
      <c r="E78" s="203"/>
      <c r="F78" s="204"/>
      <c r="G78" s="588"/>
      <c r="H78" s="95"/>
      <c r="I78" s="13"/>
      <c r="J78" s="254"/>
      <c r="K78" s="257"/>
      <c r="L78" s="563"/>
      <c r="M78" s="95"/>
      <c r="N78" s="13"/>
      <c r="O78" s="254"/>
      <c r="P78" s="257"/>
      <c r="Q78" s="563"/>
      <c r="R78" s="95"/>
      <c r="S78" s="13"/>
      <c r="T78" s="254"/>
      <c r="U78" s="257"/>
      <c r="V78" s="563"/>
      <c r="W78" s="95"/>
      <c r="X78" s="13"/>
      <c r="Y78" s="254"/>
      <c r="Z78" s="257"/>
      <c r="AA78" s="563"/>
      <c r="AB78" s="95"/>
      <c r="AC78" s="13"/>
      <c r="AD78" s="254"/>
      <c r="AE78" s="257"/>
      <c r="AF78" s="530"/>
      <c r="AG78" s="205"/>
      <c r="AH78" s="206"/>
      <c r="AI78" s="207"/>
      <c r="AJ78" s="204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</row>
    <row r="79" spans="1:86" s="91" customFormat="1" ht="18" hidden="1" customHeight="1">
      <c r="A79" s="539" t="s">
        <v>51</v>
      </c>
      <c r="B79" s="528"/>
      <c r="C79" s="187"/>
      <c r="D79" s="188"/>
      <c r="E79" s="189"/>
      <c r="F79" s="190"/>
      <c r="G79" s="586"/>
      <c r="H79" s="95"/>
      <c r="I79" s="13"/>
      <c r="J79" s="254"/>
      <c r="K79" s="267"/>
      <c r="L79" s="561"/>
      <c r="M79" s="95"/>
      <c r="N79" s="13"/>
      <c r="O79" s="254"/>
      <c r="P79" s="267"/>
      <c r="Q79" s="561"/>
      <c r="R79" s="95"/>
      <c r="S79" s="13"/>
      <c r="T79" s="254"/>
      <c r="U79" s="267"/>
      <c r="V79" s="561"/>
      <c r="W79" s="95"/>
      <c r="X79" s="13"/>
      <c r="Y79" s="254"/>
      <c r="Z79" s="267"/>
      <c r="AA79" s="561"/>
      <c r="AB79" s="95"/>
      <c r="AC79" s="13"/>
      <c r="AD79" s="254"/>
      <c r="AE79" s="267"/>
      <c r="AF79" s="528"/>
      <c r="AG79" s="191"/>
      <c r="AH79" s="192"/>
      <c r="AI79" s="193"/>
      <c r="AJ79" s="190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</row>
    <row r="80" spans="1:86" s="91" customFormat="1" ht="18" hidden="1" customHeight="1">
      <c r="A80" s="540"/>
      <c r="B80" s="529"/>
      <c r="C80" s="194"/>
      <c r="D80" s="195"/>
      <c r="E80" s="196"/>
      <c r="F80" s="197"/>
      <c r="G80" s="587"/>
      <c r="H80" s="95"/>
      <c r="I80" s="13"/>
      <c r="J80" s="254"/>
      <c r="K80" s="255"/>
      <c r="L80" s="562"/>
      <c r="M80" s="95"/>
      <c r="N80" s="13"/>
      <c r="O80" s="254"/>
      <c r="P80" s="255"/>
      <c r="Q80" s="562"/>
      <c r="R80" s="95"/>
      <c r="S80" s="13"/>
      <c r="T80" s="254"/>
      <c r="U80" s="255"/>
      <c r="V80" s="562"/>
      <c r="W80" s="95"/>
      <c r="X80" s="13"/>
      <c r="Y80" s="254"/>
      <c r="Z80" s="255"/>
      <c r="AA80" s="562"/>
      <c r="AB80" s="95"/>
      <c r="AC80" s="13"/>
      <c r="AD80" s="254"/>
      <c r="AE80" s="255"/>
      <c r="AF80" s="529"/>
      <c r="AG80" s="198"/>
      <c r="AH80" s="199"/>
      <c r="AI80" s="200"/>
      <c r="AJ80" s="197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</row>
    <row r="81" spans="1:86" s="91" customFormat="1" ht="18" hidden="1" customHeight="1">
      <c r="A81" s="540"/>
      <c r="B81" s="529"/>
      <c r="C81" s="194"/>
      <c r="D81" s="195"/>
      <c r="E81" s="196"/>
      <c r="F81" s="197"/>
      <c r="G81" s="587"/>
      <c r="H81" s="95"/>
      <c r="I81" s="13"/>
      <c r="J81" s="254"/>
      <c r="K81" s="255"/>
      <c r="L81" s="562"/>
      <c r="M81" s="95"/>
      <c r="N81" s="13"/>
      <c r="O81" s="254"/>
      <c r="P81" s="255"/>
      <c r="Q81" s="562"/>
      <c r="R81" s="95"/>
      <c r="S81" s="13"/>
      <c r="T81" s="254"/>
      <c r="U81" s="255"/>
      <c r="V81" s="562"/>
      <c r="W81" s="95"/>
      <c r="X81" s="13"/>
      <c r="Y81" s="254"/>
      <c r="Z81" s="255"/>
      <c r="AA81" s="562"/>
      <c r="AB81" s="95"/>
      <c r="AC81" s="13"/>
      <c r="AD81" s="254"/>
      <c r="AE81" s="255"/>
      <c r="AF81" s="529"/>
      <c r="AG81" s="198"/>
      <c r="AH81" s="199"/>
      <c r="AI81" s="200"/>
      <c r="AJ81" s="197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</row>
    <row r="82" spans="1:86" s="91" customFormat="1" ht="18" hidden="1" customHeight="1">
      <c r="A82" s="540"/>
      <c r="B82" s="529"/>
      <c r="C82" s="194"/>
      <c r="D82" s="195"/>
      <c r="E82" s="196"/>
      <c r="F82" s="197"/>
      <c r="G82" s="587"/>
      <c r="H82" s="95"/>
      <c r="I82" s="13"/>
      <c r="J82" s="254"/>
      <c r="K82" s="255"/>
      <c r="L82" s="562"/>
      <c r="M82" s="95"/>
      <c r="N82" s="13"/>
      <c r="O82" s="254"/>
      <c r="P82" s="255"/>
      <c r="Q82" s="562"/>
      <c r="R82" s="95"/>
      <c r="S82" s="13"/>
      <c r="T82" s="254"/>
      <c r="U82" s="255"/>
      <c r="V82" s="562"/>
      <c r="W82" s="95"/>
      <c r="X82" s="13"/>
      <c r="Y82" s="254"/>
      <c r="Z82" s="255"/>
      <c r="AA82" s="562"/>
      <c r="AB82" s="95"/>
      <c r="AC82" s="13"/>
      <c r="AD82" s="254"/>
      <c r="AE82" s="255"/>
      <c r="AF82" s="529"/>
      <c r="AG82" s="198"/>
      <c r="AH82" s="199"/>
      <c r="AI82" s="200"/>
      <c r="AJ82" s="197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</row>
    <row r="83" spans="1:86" s="91" customFormat="1" ht="18" hidden="1" customHeight="1">
      <c r="A83" s="540"/>
      <c r="B83" s="529"/>
      <c r="C83" s="194"/>
      <c r="D83" s="195"/>
      <c r="E83" s="196"/>
      <c r="F83" s="197"/>
      <c r="G83" s="587"/>
      <c r="H83" s="95"/>
      <c r="I83" s="13"/>
      <c r="J83" s="254"/>
      <c r="K83" s="255"/>
      <c r="L83" s="562"/>
      <c r="M83" s="95"/>
      <c r="N83" s="13"/>
      <c r="O83" s="254"/>
      <c r="P83" s="255"/>
      <c r="Q83" s="562"/>
      <c r="R83" s="95"/>
      <c r="S83" s="13"/>
      <c r="T83" s="254"/>
      <c r="U83" s="255"/>
      <c r="V83" s="562"/>
      <c r="W83" s="95"/>
      <c r="X83" s="13"/>
      <c r="Y83" s="254"/>
      <c r="Z83" s="255"/>
      <c r="AA83" s="562"/>
      <c r="AB83" s="95"/>
      <c r="AC83" s="13"/>
      <c r="AD83" s="254"/>
      <c r="AE83" s="255"/>
      <c r="AF83" s="529"/>
      <c r="AG83" s="198"/>
      <c r="AH83" s="199"/>
      <c r="AI83" s="200"/>
      <c r="AJ83" s="197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</row>
    <row r="84" spans="1:86" s="91" customFormat="1" ht="18" hidden="1" customHeight="1">
      <c r="A84" s="540"/>
      <c r="B84" s="529"/>
      <c r="C84" s="194"/>
      <c r="D84" s="195"/>
      <c r="E84" s="196"/>
      <c r="F84" s="197"/>
      <c r="G84" s="587"/>
      <c r="H84" s="95"/>
      <c r="I84" s="13"/>
      <c r="J84" s="254"/>
      <c r="K84" s="255"/>
      <c r="L84" s="562"/>
      <c r="M84" s="95"/>
      <c r="N84" s="13"/>
      <c r="O84" s="254"/>
      <c r="P84" s="255"/>
      <c r="Q84" s="562"/>
      <c r="R84" s="95"/>
      <c r="S84" s="13"/>
      <c r="T84" s="254"/>
      <c r="U84" s="255"/>
      <c r="V84" s="562"/>
      <c r="W84" s="95"/>
      <c r="X84" s="13"/>
      <c r="Y84" s="254"/>
      <c r="Z84" s="255"/>
      <c r="AA84" s="562"/>
      <c r="AB84" s="95"/>
      <c r="AC84" s="13"/>
      <c r="AD84" s="254"/>
      <c r="AE84" s="255"/>
      <c r="AF84" s="529"/>
      <c r="AG84" s="198"/>
      <c r="AH84" s="199"/>
      <c r="AI84" s="200"/>
      <c r="AJ84" s="197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</row>
    <row r="85" spans="1:86" s="91" customFormat="1" ht="18" hidden="1" customHeight="1">
      <c r="A85" s="540"/>
      <c r="B85" s="529"/>
      <c r="C85" s="194"/>
      <c r="D85" s="195"/>
      <c r="E85" s="196"/>
      <c r="F85" s="197"/>
      <c r="G85" s="587"/>
      <c r="H85" s="95"/>
      <c r="I85" s="13"/>
      <c r="J85" s="254"/>
      <c r="K85" s="255"/>
      <c r="L85" s="562"/>
      <c r="M85" s="95"/>
      <c r="N85" s="13"/>
      <c r="O85" s="254"/>
      <c r="P85" s="255"/>
      <c r="Q85" s="562"/>
      <c r="R85" s="95"/>
      <c r="S85" s="13"/>
      <c r="T85" s="254"/>
      <c r="U85" s="255"/>
      <c r="V85" s="562"/>
      <c r="W85" s="95"/>
      <c r="X85" s="13"/>
      <c r="Y85" s="254"/>
      <c r="Z85" s="255"/>
      <c r="AA85" s="562"/>
      <c r="AB85" s="95"/>
      <c r="AC85" s="13"/>
      <c r="AD85" s="254"/>
      <c r="AE85" s="255"/>
      <c r="AF85" s="529"/>
      <c r="AG85" s="198"/>
      <c r="AH85" s="199"/>
      <c r="AI85" s="200"/>
      <c r="AJ85" s="197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</row>
    <row r="86" spans="1:86" s="91" customFormat="1" ht="18" hidden="1" customHeight="1">
      <c r="A86" s="540"/>
      <c r="B86" s="529"/>
      <c r="C86" s="194"/>
      <c r="D86" s="195"/>
      <c r="E86" s="196"/>
      <c r="F86" s="197"/>
      <c r="G86" s="587"/>
      <c r="H86" s="95"/>
      <c r="I86" s="13"/>
      <c r="J86" s="254"/>
      <c r="K86" s="255"/>
      <c r="L86" s="562"/>
      <c r="M86" s="95"/>
      <c r="N86" s="13"/>
      <c r="O86" s="254"/>
      <c r="P86" s="255"/>
      <c r="Q86" s="562"/>
      <c r="R86" s="95"/>
      <c r="S86" s="13"/>
      <c r="T86" s="254"/>
      <c r="U86" s="255"/>
      <c r="V86" s="562"/>
      <c r="W86" s="95"/>
      <c r="X86" s="13"/>
      <c r="Y86" s="254"/>
      <c r="Z86" s="255"/>
      <c r="AA86" s="562"/>
      <c r="AB86" s="95"/>
      <c r="AC86" s="13"/>
      <c r="AD86" s="254"/>
      <c r="AE86" s="255"/>
      <c r="AF86" s="529"/>
      <c r="AG86" s="198"/>
      <c r="AH86" s="199"/>
      <c r="AI86" s="200"/>
      <c r="AJ86" s="197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</row>
    <row r="87" spans="1:86" s="91" customFormat="1" ht="18" hidden="1" customHeight="1">
      <c r="A87" s="540"/>
      <c r="B87" s="529"/>
      <c r="C87" s="194"/>
      <c r="D87" s="195"/>
      <c r="E87" s="196"/>
      <c r="F87" s="197"/>
      <c r="G87" s="587"/>
      <c r="H87" s="95"/>
      <c r="I87" s="13"/>
      <c r="J87" s="254"/>
      <c r="K87" s="255"/>
      <c r="L87" s="562"/>
      <c r="M87" s="95"/>
      <c r="N87" s="13"/>
      <c r="O87" s="254"/>
      <c r="P87" s="255"/>
      <c r="Q87" s="562"/>
      <c r="R87" s="95"/>
      <c r="S87" s="13"/>
      <c r="T87" s="254"/>
      <c r="U87" s="255"/>
      <c r="V87" s="562"/>
      <c r="W87" s="95"/>
      <c r="X87" s="13"/>
      <c r="Y87" s="254"/>
      <c r="Z87" s="255"/>
      <c r="AA87" s="562"/>
      <c r="AB87" s="95"/>
      <c r="AC87" s="13"/>
      <c r="AD87" s="254"/>
      <c r="AE87" s="255"/>
      <c r="AF87" s="529"/>
      <c r="AG87" s="198"/>
      <c r="AH87" s="199"/>
      <c r="AI87" s="200"/>
      <c r="AJ87" s="19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</row>
    <row r="88" spans="1:86" s="91" customFormat="1" ht="18" hidden="1" customHeight="1">
      <c r="A88" s="540"/>
      <c r="B88" s="529"/>
      <c r="C88" s="194"/>
      <c r="D88" s="195"/>
      <c r="E88" s="196"/>
      <c r="F88" s="197"/>
      <c r="G88" s="587"/>
      <c r="H88" s="95"/>
      <c r="I88" s="13"/>
      <c r="J88" s="254"/>
      <c r="K88" s="255"/>
      <c r="L88" s="562"/>
      <c r="M88" s="95"/>
      <c r="N88" s="13"/>
      <c r="O88" s="254"/>
      <c r="P88" s="255"/>
      <c r="Q88" s="562"/>
      <c r="R88" s="95"/>
      <c r="S88" s="13"/>
      <c r="T88" s="254"/>
      <c r="U88" s="255"/>
      <c r="V88" s="562"/>
      <c r="W88" s="95"/>
      <c r="X88" s="13"/>
      <c r="Y88" s="254"/>
      <c r="Z88" s="255"/>
      <c r="AA88" s="562"/>
      <c r="AB88" s="95"/>
      <c r="AC88" s="13"/>
      <c r="AD88" s="254"/>
      <c r="AE88" s="255"/>
      <c r="AF88" s="529"/>
      <c r="AG88" s="198"/>
      <c r="AH88" s="199"/>
      <c r="AI88" s="200"/>
      <c r="AJ88" s="197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</row>
    <row r="89" spans="1:86" s="91" customFormat="1" ht="18" hidden="1" customHeight="1">
      <c r="A89" s="540"/>
      <c r="B89" s="529"/>
      <c r="C89" s="194"/>
      <c r="D89" s="195"/>
      <c r="E89" s="196"/>
      <c r="F89" s="197"/>
      <c r="G89" s="587"/>
      <c r="H89" s="95"/>
      <c r="I89" s="13"/>
      <c r="J89" s="254"/>
      <c r="K89" s="255"/>
      <c r="L89" s="562"/>
      <c r="M89" s="95"/>
      <c r="N89" s="13"/>
      <c r="O89" s="254"/>
      <c r="P89" s="255"/>
      <c r="Q89" s="562"/>
      <c r="R89" s="95"/>
      <c r="S89" s="13"/>
      <c r="T89" s="254"/>
      <c r="U89" s="255"/>
      <c r="V89" s="562"/>
      <c r="W89" s="95"/>
      <c r="X89" s="13"/>
      <c r="Y89" s="254"/>
      <c r="Z89" s="255"/>
      <c r="AA89" s="562"/>
      <c r="AB89" s="95"/>
      <c r="AC89" s="13"/>
      <c r="AD89" s="254"/>
      <c r="AE89" s="255"/>
      <c r="AF89" s="529"/>
      <c r="AG89" s="198"/>
      <c r="AH89" s="199"/>
      <c r="AI89" s="200"/>
      <c r="AJ89" s="197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</row>
    <row r="90" spans="1:86" s="91" customFormat="1" ht="18" hidden="1" customHeight="1">
      <c r="A90" s="540"/>
      <c r="B90" s="529"/>
      <c r="C90" s="194"/>
      <c r="D90" s="195"/>
      <c r="E90" s="196"/>
      <c r="F90" s="197"/>
      <c r="G90" s="587"/>
      <c r="H90" s="95"/>
      <c r="I90" s="13"/>
      <c r="J90" s="254"/>
      <c r="K90" s="255"/>
      <c r="L90" s="562"/>
      <c r="M90" s="95"/>
      <c r="N90" s="13"/>
      <c r="O90" s="254"/>
      <c r="P90" s="255"/>
      <c r="Q90" s="562"/>
      <c r="R90" s="95"/>
      <c r="S90" s="13"/>
      <c r="T90" s="254"/>
      <c r="U90" s="255"/>
      <c r="V90" s="562"/>
      <c r="W90" s="95"/>
      <c r="X90" s="13"/>
      <c r="Y90" s="254"/>
      <c r="Z90" s="255"/>
      <c r="AA90" s="562"/>
      <c r="AB90" s="95"/>
      <c r="AC90" s="13"/>
      <c r="AD90" s="254"/>
      <c r="AE90" s="255"/>
      <c r="AF90" s="529"/>
      <c r="AG90" s="198"/>
      <c r="AH90" s="199"/>
      <c r="AI90" s="200"/>
      <c r="AJ90" s="197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</row>
    <row r="91" spans="1:86" s="91" customFormat="1" ht="18" hidden="1" customHeight="1">
      <c r="A91" s="540"/>
      <c r="B91" s="529"/>
      <c r="C91" s="194"/>
      <c r="D91" s="195"/>
      <c r="E91" s="196"/>
      <c r="F91" s="197"/>
      <c r="G91" s="587"/>
      <c r="H91" s="95"/>
      <c r="I91" s="13"/>
      <c r="J91" s="254"/>
      <c r="K91" s="255"/>
      <c r="L91" s="562"/>
      <c r="M91" s="95"/>
      <c r="N91" s="13"/>
      <c r="O91" s="254"/>
      <c r="P91" s="255"/>
      <c r="Q91" s="562"/>
      <c r="R91" s="95"/>
      <c r="S91" s="13"/>
      <c r="T91" s="254"/>
      <c r="U91" s="255"/>
      <c r="V91" s="562"/>
      <c r="W91" s="95"/>
      <c r="X91" s="13"/>
      <c r="Y91" s="254"/>
      <c r="Z91" s="255"/>
      <c r="AA91" s="562"/>
      <c r="AB91" s="95"/>
      <c r="AC91" s="13"/>
      <c r="AD91" s="254"/>
      <c r="AE91" s="255"/>
      <c r="AF91" s="529"/>
      <c r="AG91" s="198"/>
      <c r="AH91" s="199"/>
      <c r="AI91" s="200"/>
      <c r="AJ91" s="197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</row>
    <row r="92" spans="1:86" s="91" customFormat="1" ht="18" hidden="1" customHeight="1">
      <c r="A92" s="540"/>
      <c r="B92" s="529"/>
      <c r="C92" s="194"/>
      <c r="D92" s="195"/>
      <c r="E92" s="196"/>
      <c r="F92" s="197"/>
      <c r="G92" s="587"/>
      <c r="H92" s="95"/>
      <c r="I92" s="13"/>
      <c r="J92" s="254"/>
      <c r="K92" s="255"/>
      <c r="L92" s="562"/>
      <c r="M92" s="95"/>
      <c r="N92" s="13"/>
      <c r="O92" s="254"/>
      <c r="P92" s="255"/>
      <c r="Q92" s="562"/>
      <c r="R92" s="95"/>
      <c r="S92" s="13"/>
      <c r="T92" s="254"/>
      <c r="U92" s="255"/>
      <c r="V92" s="562"/>
      <c r="W92" s="95"/>
      <c r="X92" s="13"/>
      <c r="Y92" s="254"/>
      <c r="Z92" s="255"/>
      <c r="AA92" s="562"/>
      <c r="AB92" s="95"/>
      <c r="AC92" s="13"/>
      <c r="AD92" s="254"/>
      <c r="AE92" s="255"/>
      <c r="AF92" s="529"/>
      <c r="AG92" s="198"/>
      <c r="AH92" s="199"/>
      <c r="AI92" s="200"/>
      <c r="AJ92" s="197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</row>
    <row r="93" spans="1:86" s="91" customFormat="1" ht="18" hidden="1" customHeight="1">
      <c r="A93" s="541"/>
      <c r="B93" s="530"/>
      <c r="C93" s="201"/>
      <c r="D93" s="202"/>
      <c r="E93" s="203"/>
      <c r="F93" s="204"/>
      <c r="G93" s="588"/>
      <c r="H93" s="95"/>
      <c r="I93" s="13"/>
      <c r="J93" s="254"/>
      <c r="K93" s="255"/>
      <c r="L93" s="563"/>
      <c r="M93" s="95"/>
      <c r="N93" s="13"/>
      <c r="O93" s="254"/>
      <c r="P93" s="255"/>
      <c r="Q93" s="563"/>
      <c r="R93" s="95"/>
      <c r="S93" s="13"/>
      <c r="T93" s="254"/>
      <c r="U93" s="255"/>
      <c r="V93" s="563"/>
      <c r="W93" s="95"/>
      <c r="X93" s="13"/>
      <c r="Y93" s="254"/>
      <c r="Z93" s="255"/>
      <c r="AA93" s="563"/>
      <c r="AB93" s="95"/>
      <c r="AC93" s="13"/>
      <c r="AD93" s="254"/>
      <c r="AE93" s="255"/>
      <c r="AF93" s="530"/>
      <c r="AG93" s="205"/>
      <c r="AH93" s="206"/>
      <c r="AI93" s="207"/>
      <c r="AJ93" s="204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</row>
    <row r="94" spans="1:86" s="91" customFormat="1" ht="18" customHeight="1">
      <c r="A94" s="592" t="s">
        <v>52</v>
      </c>
      <c r="B94" s="528"/>
      <c r="C94" s="188"/>
      <c r="D94" s="188"/>
      <c r="E94" s="189"/>
      <c r="F94" s="37"/>
      <c r="G94" s="567"/>
      <c r="H94" s="11"/>
      <c r="I94" s="9"/>
      <c r="J94" s="253"/>
      <c r="K94" s="223" t="s">
        <v>0</v>
      </c>
      <c r="L94" s="572" t="s">
        <v>383</v>
      </c>
      <c r="M94" s="376" t="s">
        <v>263</v>
      </c>
      <c r="N94" s="377"/>
      <c r="O94" s="378">
        <f>ROUND(70*O$2/1000,0)</f>
        <v>131</v>
      </c>
      <c r="P94" s="379" t="s">
        <v>0</v>
      </c>
      <c r="Q94" s="567"/>
      <c r="R94" s="320"/>
      <c r="S94" s="9"/>
      <c r="T94" s="253"/>
      <c r="U94" s="262" t="s">
        <v>0</v>
      </c>
      <c r="V94" s="572" t="s">
        <v>337</v>
      </c>
      <c r="W94" s="368" t="s">
        <v>124</v>
      </c>
      <c r="X94" s="377"/>
      <c r="Y94" s="378">
        <f>ROUND(15*T$2/1000,0)</f>
        <v>29</v>
      </c>
      <c r="Z94" s="379" t="s">
        <v>0</v>
      </c>
      <c r="AA94" s="639" t="s">
        <v>241</v>
      </c>
      <c r="AB94" s="93" t="s">
        <v>168</v>
      </c>
      <c r="AC94" s="9" t="s">
        <v>96</v>
      </c>
      <c r="AD94" s="253">
        <f>ROUND(20*AD$2/1000,0)</f>
        <v>38</v>
      </c>
      <c r="AE94" s="223" t="s">
        <v>0</v>
      </c>
      <c r="AF94" s="589"/>
      <c r="AG94" s="11"/>
      <c r="AH94" s="9"/>
      <c r="AI94" s="56"/>
      <c r="AJ94" s="3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</row>
    <row r="95" spans="1:86" s="91" customFormat="1" ht="18" customHeight="1">
      <c r="A95" s="515"/>
      <c r="B95" s="636"/>
      <c r="C95" s="195"/>
      <c r="D95" s="195"/>
      <c r="E95" s="196"/>
      <c r="F95" s="199"/>
      <c r="G95" s="568"/>
      <c r="H95" s="12"/>
      <c r="I95" s="13"/>
      <c r="J95" s="254"/>
      <c r="K95" s="255" t="s">
        <v>0</v>
      </c>
      <c r="L95" s="573"/>
      <c r="M95" s="373" t="s">
        <v>384</v>
      </c>
      <c r="N95" s="380"/>
      <c r="O95" s="374">
        <f>ROUND(3*O$2/1000,0)</f>
        <v>6</v>
      </c>
      <c r="P95" s="375" t="s">
        <v>0</v>
      </c>
      <c r="Q95" s="568"/>
      <c r="R95" s="321"/>
      <c r="S95" s="13"/>
      <c r="T95" s="254"/>
      <c r="U95" s="255" t="s">
        <v>0</v>
      </c>
      <c r="V95" s="573"/>
      <c r="W95" s="413" t="s">
        <v>338</v>
      </c>
      <c r="X95" s="380"/>
      <c r="Y95" s="374">
        <f>ROUND(25*T$2/1000,0)</f>
        <v>48</v>
      </c>
      <c r="Z95" s="375" t="s">
        <v>0</v>
      </c>
      <c r="AA95" s="640"/>
      <c r="AB95" s="97" t="s">
        <v>83</v>
      </c>
      <c r="AC95" s="13"/>
      <c r="AD95" s="254">
        <f>ROUND(15*AD$2/1000,0)</f>
        <v>28</v>
      </c>
      <c r="AE95" s="255" t="s">
        <v>0</v>
      </c>
      <c r="AF95" s="590"/>
      <c r="AG95" s="12"/>
      <c r="AH95" s="13"/>
      <c r="AI95" s="57"/>
      <c r="AJ95" s="58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</row>
    <row r="96" spans="1:86" s="91" customFormat="1" ht="18" customHeight="1">
      <c r="A96" s="515"/>
      <c r="B96" s="636"/>
      <c r="C96" s="195"/>
      <c r="D96" s="195"/>
      <c r="E96" s="196"/>
      <c r="F96" s="199"/>
      <c r="G96" s="568"/>
      <c r="H96" s="12"/>
      <c r="I96" s="13"/>
      <c r="J96" s="254"/>
      <c r="K96" s="255" t="s">
        <v>0</v>
      </c>
      <c r="L96" s="573"/>
      <c r="M96" s="373" t="s">
        <v>385</v>
      </c>
      <c r="N96" s="380"/>
      <c r="O96" s="374">
        <f>ROUND(3*O$2/1000,0)</f>
        <v>6</v>
      </c>
      <c r="P96" s="375" t="s">
        <v>0</v>
      </c>
      <c r="Q96" s="568"/>
      <c r="R96" s="321"/>
      <c r="S96" s="13"/>
      <c r="T96" s="254"/>
      <c r="U96" s="255" t="s">
        <v>0</v>
      </c>
      <c r="V96" s="573"/>
      <c r="W96" s="413" t="s">
        <v>120</v>
      </c>
      <c r="X96" s="380"/>
      <c r="Y96" s="374">
        <f>ROUND(15*T$2/1000,0)</f>
        <v>29</v>
      </c>
      <c r="Z96" s="375" t="s">
        <v>0</v>
      </c>
      <c r="AA96" s="640"/>
      <c r="AB96" s="98" t="s">
        <v>122</v>
      </c>
      <c r="AC96" s="354"/>
      <c r="AD96" s="254">
        <f>ROUND(55*AD$2/1000,0)</f>
        <v>103</v>
      </c>
      <c r="AE96" s="255" t="s">
        <v>0</v>
      </c>
      <c r="AF96" s="590"/>
      <c r="AG96" s="12"/>
      <c r="AH96" s="13"/>
      <c r="AI96" s="57"/>
      <c r="AJ96" s="58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</row>
    <row r="97" spans="1:86" s="91" customFormat="1" ht="18" customHeight="1">
      <c r="A97" s="515"/>
      <c r="B97" s="636"/>
      <c r="C97" s="195"/>
      <c r="D97" s="195"/>
      <c r="E97" s="196"/>
      <c r="F97" s="209"/>
      <c r="G97" s="568"/>
      <c r="H97" s="12"/>
      <c r="I97" s="13"/>
      <c r="J97" s="254"/>
      <c r="K97" s="255" t="s">
        <v>0</v>
      </c>
      <c r="L97" s="573"/>
      <c r="M97" s="373" t="s">
        <v>142</v>
      </c>
      <c r="N97" s="380"/>
      <c r="O97" s="374">
        <v>3</v>
      </c>
      <c r="P97" s="375" t="s">
        <v>0</v>
      </c>
      <c r="Q97" s="568"/>
      <c r="R97" s="321"/>
      <c r="S97" s="13"/>
      <c r="T97" s="254"/>
      <c r="U97" s="255" t="s">
        <v>0</v>
      </c>
      <c r="V97" s="573"/>
      <c r="W97" s="413" t="s">
        <v>267</v>
      </c>
      <c r="X97" s="380"/>
      <c r="Y97" s="374">
        <f>ROUND(10*T$2/1000,0)</f>
        <v>19</v>
      </c>
      <c r="Z97" s="375" t="s">
        <v>0</v>
      </c>
      <c r="AA97" s="640"/>
      <c r="AB97" s="97"/>
      <c r="AC97" s="13"/>
      <c r="AD97" s="254"/>
      <c r="AE97" s="255" t="s">
        <v>0</v>
      </c>
      <c r="AF97" s="590"/>
      <c r="AG97" s="12"/>
      <c r="AH97" s="13"/>
      <c r="AI97" s="57"/>
      <c r="AJ97" s="58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</row>
    <row r="98" spans="1:86" s="91" customFormat="1" ht="18" customHeight="1">
      <c r="A98" s="515"/>
      <c r="B98" s="636"/>
      <c r="C98" s="195"/>
      <c r="D98" s="195"/>
      <c r="E98" s="196"/>
      <c r="F98" s="199"/>
      <c r="G98" s="568"/>
      <c r="H98" s="12"/>
      <c r="I98" s="13"/>
      <c r="J98" s="254"/>
      <c r="K98" s="255" t="s">
        <v>0</v>
      </c>
      <c r="L98" s="573"/>
      <c r="M98" s="373" t="s">
        <v>131</v>
      </c>
      <c r="N98" s="380"/>
      <c r="O98" s="374">
        <v>3</v>
      </c>
      <c r="P98" s="375" t="s">
        <v>0</v>
      </c>
      <c r="Q98" s="568"/>
      <c r="R98" s="321"/>
      <c r="S98" s="13"/>
      <c r="T98" s="254"/>
      <c r="U98" s="255" t="s">
        <v>0</v>
      </c>
      <c r="V98" s="573"/>
      <c r="W98" s="414" t="s">
        <v>339</v>
      </c>
      <c r="X98" s="415"/>
      <c r="Y98" s="416">
        <v>1</v>
      </c>
      <c r="Z98" s="417" t="s">
        <v>0</v>
      </c>
      <c r="AA98" s="640"/>
      <c r="AB98" s="97"/>
      <c r="AC98" s="13"/>
      <c r="AD98" s="254"/>
      <c r="AE98" s="255" t="s">
        <v>0</v>
      </c>
      <c r="AF98" s="590"/>
      <c r="AG98" s="12"/>
      <c r="AH98" s="13"/>
      <c r="AI98" s="57"/>
      <c r="AJ98" s="5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</row>
    <row r="99" spans="1:86" s="91" customFormat="1" ht="18" customHeight="1">
      <c r="A99" s="515"/>
      <c r="B99" s="636"/>
      <c r="C99" s="195"/>
      <c r="D99" s="195"/>
      <c r="E99" s="196"/>
      <c r="F99" s="209"/>
      <c r="G99" s="568"/>
      <c r="H99" s="12"/>
      <c r="I99" s="13"/>
      <c r="J99" s="254"/>
      <c r="K99" s="255" t="s">
        <v>0</v>
      </c>
      <c r="L99" s="573"/>
      <c r="M99" s="321"/>
      <c r="N99" s="13"/>
      <c r="O99" s="419"/>
      <c r="P99" s="35" t="s">
        <v>0</v>
      </c>
      <c r="Q99" s="568"/>
      <c r="R99" s="321"/>
      <c r="S99" s="13"/>
      <c r="T99" s="254"/>
      <c r="U99" s="255" t="s">
        <v>0</v>
      </c>
      <c r="V99" s="573"/>
      <c r="W99" s="321"/>
      <c r="X99" s="13"/>
      <c r="Y99" s="254"/>
      <c r="Z99" s="255" t="s">
        <v>0</v>
      </c>
      <c r="AA99" s="640"/>
      <c r="AB99" s="97"/>
      <c r="AC99" s="13"/>
      <c r="AD99" s="254"/>
      <c r="AE99" s="255" t="s">
        <v>0</v>
      </c>
      <c r="AF99" s="590"/>
      <c r="AG99" s="12"/>
      <c r="AH99" s="13"/>
      <c r="AI99" s="57"/>
      <c r="AJ99" s="58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</row>
    <row r="100" spans="1:86" s="91" customFormat="1" ht="18" customHeight="1" thickBot="1">
      <c r="A100" s="515"/>
      <c r="B100" s="636"/>
      <c r="C100" s="195"/>
      <c r="D100" s="195"/>
      <c r="E100" s="196"/>
      <c r="F100" s="209"/>
      <c r="G100" s="568"/>
      <c r="H100" s="15"/>
      <c r="I100" s="14"/>
      <c r="J100" s="261"/>
      <c r="K100" s="257" t="s">
        <v>0</v>
      </c>
      <c r="L100" s="573"/>
      <c r="M100" s="322"/>
      <c r="N100" s="14"/>
      <c r="O100" s="467"/>
      <c r="P100" s="54" t="s">
        <v>0</v>
      </c>
      <c r="Q100" s="568"/>
      <c r="R100" s="322"/>
      <c r="S100" s="14"/>
      <c r="T100" s="261"/>
      <c r="U100" s="257" t="s">
        <v>0</v>
      </c>
      <c r="V100" s="573"/>
      <c r="W100" s="322"/>
      <c r="X100" s="14"/>
      <c r="Y100" s="261"/>
      <c r="Z100" s="257" t="s">
        <v>0</v>
      </c>
      <c r="AA100" s="640"/>
      <c r="AB100" s="94"/>
      <c r="AC100" s="14"/>
      <c r="AD100" s="261"/>
      <c r="AE100" s="257" t="s">
        <v>0</v>
      </c>
      <c r="AF100" s="590"/>
      <c r="AG100" s="15"/>
      <c r="AH100" s="14"/>
      <c r="AI100" s="210"/>
      <c r="AJ100" s="103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</row>
    <row r="101" spans="1:86" s="91" customFormat="1" ht="18" hidden="1" customHeight="1" thickBot="1">
      <c r="A101" s="515"/>
      <c r="B101" s="636"/>
      <c r="C101" s="195"/>
      <c r="D101" s="195"/>
      <c r="E101" s="196"/>
      <c r="F101" s="209"/>
      <c r="G101" s="568"/>
      <c r="H101" s="13"/>
      <c r="I101" s="13"/>
      <c r="J101" s="254"/>
      <c r="K101" s="255" t="s">
        <v>0</v>
      </c>
      <c r="L101" s="573"/>
      <c r="M101" s="208"/>
      <c r="N101" s="13"/>
      <c r="O101" s="254"/>
      <c r="P101" s="255" t="s">
        <v>0</v>
      </c>
      <c r="Q101" s="568"/>
      <c r="R101" s="208"/>
      <c r="S101" s="13"/>
      <c r="T101" s="254"/>
      <c r="U101" s="255" t="s">
        <v>0</v>
      </c>
      <c r="V101" s="573"/>
      <c r="W101" s="208"/>
      <c r="X101" s="13"/>
      <c r="Y101" s="254"/>
      <c r="Z101" s="255" t="s">
        <v>0</v>
      </c>
      <c r="AA101" s="640"/>
      <c r="AB101" s="95"/>
      <c r="AC101" s="13"/>
      <c r="AD101" s="254"/>
      <c r="AE101" s="255" t="s">
        <v>0</v>
      </c>
      <c r="AF101" s="590"/>
      <c r="AG101" s="13"/>
      <c r="AH101" s="13"/>
      <c r="AI101" s="57"/>
      <c r="AJ101" s="58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</row>
    <row r="102" spans="1:86" s="91" customFormat="1" ht="18" hidden="1" customHeight="1">
      <c r="A102" s="515"/>
      <c r="B102" s="636"/>
      <c r="C102" s="195"/>
      <c r="D102" s="195"/>
      <c r="E102" s="196"/>
      <c r="F102" s="209"/>
      <c r="G102" s="568"/>
      <c r="H102" s="13"/>
      <c r="I102" s="13"/>
      <c r="J102" s="254"/>
      <c r="K102" s="255" t="s">
        <v>0</v>
      </c>
      <c r="L102" s="573"/>
      <c r="M102" s="208"/>
      <c r="N102" s="13"/>
      <c r="O102" s="254"/>
      <c r="P102" s="255" t="s">
        <v>0</v>
      </c>
      <c r="Q102" s="568"/>
      <c r="R102" s="208"/>
      <c r="S102" s="13"/>
      <c r="T102" s="254"/>
      <c r="U102" s="255" t="s">
        <v>0</v>
      </c>
      <c r="V102" s="573"/>
      <c r="W102" s="208"/>
      <c r="X102" s="13"/>
      <c r="Y102" s="254"/>
      <c r="Z102" s="255" t="s">
        <v>0</v>
      </c>
      <c r="AA102" s="640"/>
      <c r="AB102" s="95"/>
      <c r="AC102" s="13"/>
      <c r="AD102" s="254"/>
      <c r="AE102" s="255" t="s">
        <v>0</v>
      </c>
      <c r="AF102" s="590"/>
      <c r="AG102" s="13"/>
      <c r="AH102" s="13"/>
      <c r="AI102" s="57"/>
      <c r="AJ102" s="58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</row>
    <row r="103" spans="1:86" s="91" customFormat="1" ht="18" hidden="1" customHeight="1">
      <c r="A103" s="515"/>
      <c r="B103" s="636"/>
      <c r="C103" s="195"/>
      <c r="D103" s="195"/>
      <c r="E103" s="196"/>
      <c r="F103" s="209"/>
      <c r="G103" s="568"/>
      <c r="H103" s="13"/>
      <c r="I103" s="13"/>
      <c r="J103" s="254"/>
      <c r="K103" s="258"/>
      <c r="L103" s="573"/>
      <c r="M103" s="208"/>
      <c r="N103" s="13"/>
      <c r="O103" s="254"/>
      <c r="P103" s="258"/>
      <c r="Q103" s="568"/>
      <c r="R103" s="208"/>
      <c r="S103" s="13"/>
      <c r="T103" s="254"/>
      <c r="U103" s="258"/>
      <c r="V103" s="573"/>
      <c r="W103" s="208"/>
      <c r="X103" s="13"/>
      <c r="Y103" s="254"/>
      <c r="Z103" s="258"/>
      <c r="AA103" s="640"/>
      <c r="AB103" s="95"/>
      <c r="AC103" s="13"/>
      <c r="AD103" s="254"/>
      <c r="AE103" s="258"/>
      <c r="AF103" s="590"/>
      <c r="AG103" s="13"/>
      <c r="AH103" s="13"/>
      <c r="AI103" s="57"/>
      <c r="AJ103" s="104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</row>
    <row r="104" spans="1:86" s="91" customFormat="1" ht="18" hidden="1" customHeight="1">
      <c r="A104" s="515"/>
      <c r="B104" s="636"/>
      <c r="C104" s="195"/>
      <c r="D104" s="195"/>
      <c r="E104" s="196"/>
      <c r="F104" s="209"/>
      <c r="G104" s="568"/>
      <c r="H104" s="13"/>
      <c r="I104" s="13"/>
      <c r="J104" s="254"/>
      <c r="K104" s="258"/>
      <c r="L104" s="573"/>
      <c r="M104" s="208"/>
      <c r="N104" s="13"/>
      <c r="O104" s="254"/>
      <c r="P104" s="258"/>
      <c r="Q104" s="568"/>
      <c r="R104" s="208"/>
      <c r="S104" s="13"/>
      <c r="T104" s="254"/>
      <c r="U104" s="258"/>
      <c r="V104" s="573"/>
      <c r="W104" s="208"/>
      <c r="X104" s="13"/>
      <c r="Y104" s="254"/>
      <c r="Z104" s="258"/>
      <c r="AA104" s="640"/>
      <c r="AB104" s="95"/>
      <c r="AC104" s="13"/>
      <c r="AD104" s="254"/>
      <c r="AE104" s="258"/>
      <c r="AF104" s="590"/>
      <c r="AG104" s="13"/>
      <c r="AH104" s="13"/>
      <c r="AI104" s="57"/>
      <c r="AJ104" s="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</row>
    <row r="105" spans="1:86" s="91" customFormat="1" ht="18" hidden="1" customHeight="1">
      <c r="A105" s="515"/>
      <c r="B105" s="636"/>
      <c r="C105" s="195"/>
      <c r="D105" s="195"/>
      <c r="E105" s="196"/>
      <c r="F105" s="209"/>
      <c r="G105" s="568"/>
      <c r="H105" s="13"/>
      <c r="I105" s="13"/>
      <c r="J105" s="254"/>
      <c r="K105" s="258"/>
      <c r="L105" s="573"/>
      <c r="M105" s="208"/>
      <c r="N105" s="13"/>
      <c r="O105" s="254"/>
      <c r="P105" s="258"/>
      <c r="Q105" s="568"/>
      <c r="R105" s="208"/>
      <c r="S105" s="13"/>
      <c r="T105" s="254"/>
      <c r="U105" s="258"/>
      <c r="V105" s="573"/>
      <c r="W105" s="208"/>
      <c r="X105" s="13"/>
      <c r="Y105" s="254"/>
      <c r="Z105" s="258"/>
      <c r="AA105" s="640"/>
      <c r="AB105" s="95"/>
      <c r="AC105" s="13"/>
      <c r="AD105" s="254"/>
      <c r="AE105" s="258"/>
      <c r="AF105" s="590"/>
      <c r="AG105" s="13"/>
      <c r="AH105" s="13"/>
      <c r="AI105" s="57"/>
      <c r="AJ105" s="104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</row>
    <row r="106" spans="1:86" s="91" customFormat="1" ht="18" hidden="1" customHeight="1">
      <c r="A106" s="515"/>
      <c r="B106" s="636"/>
      <c r="C106" s="195"/>
      <c r="D106" s="195"/>
      <c r="E106" s="196"/>
      <c r="F106" s="209"/>
      <c r="G106" s="568"/>
      <c r="H106" s="13"/>
      <c r="I106" s="13"/>
      <c r="J106" s="254"/>
      <c r="K106" s="258"/>
      <c r="L106" s="573"/>
      <c r="M106" s="208"/>
      <c r="N106" s="13"/>
      <c r="O106" s="254"/>
      <c r="P106" s="258"/>
      <c r="Q106" s="568"/>
      <c r="R106" s="208"/>
      <c r="S106" s="13"/>
      <c r="T106" s="254"/>
      <c r="U106" s="258"/>
      <c r="V106" s="573"/>
      <c r="W106" s="208"/>
      <c r="X106" s="13"/>
      <c r="Y106" s="254"/>
      <c r="Z106" s="258"/>
      <c r="AA106" s="640"/>
      <c r="AB106" s="95"/>
      <c r="AC106" s="13"/>
      <c r="AD106" s="254"/>
      <c r="AE106" s="258"/>
      <c r="AF106" s="590"/>
      <c r="AG106" s="13"/>
      <c r="AH106" s="13"/>
      <c r="AI106" s="57"/>
      <c r="AJ106" s="104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</row>
    <row r="107" spans="1:86" s="91" customFormat="1" ht="18" hidden="1" customHeight="1">
      <c r="A107" s="515"/>
      <c r="B107" s="636"/>
      <c r="C107" s="195"/>
      <c r="D107" s="195"/>
      <c r="E107" s="196"/>
      <c r="F107" s="209"/>
      <c r="G107" s="568"/>
      <c r="H107" s="13"/>
      <c r="I107" s="13"/>
      <c r="J107" s="254"/>
      <c r="K107" s="258"/>
      <c r="L107" s="573"/>
      <c r="M107" s="208"/>
      <c r="N107" s="13"/>
      <c r="O107" s="254"/>
      <c r="P107" s="258"/>
      <c r="Q107" s="568"/>
      <c r="R107" s="208"/>
      <c r="S107" s="13"/>
      <c r="T107" s="254"/>
      <c r="U107" s="258"/>
      <c r="V107" s="573"/>
      <c r="W107" s="208"/>
      <c r="X107" s="13"/>
      <c r="Y107" s="254"/>
      <c r="Z107" s="258"/>
      <c r="AA107" s="640"/>
      <c r="AB107" s="95"/>
      <c r="AC107" s="13"/>
      <c r="AD107" s="254"/>
      <c r="AE107" s="258"/>
      <c r="AF107" s="590"/>
      <c r="AG107" s="13"/>
      <c r="AH107" s="13"/>
      <c r="AI107" s="57"/>
      <c r="AJ107" s="104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</row>
    <row r="108" spans="1:86" s="91" customFormat="1" ht="18" hidden="1" customHeight="1">
      <c r="A108" s="593"/>
      <c r="B108" s="637"/>
      <c r="C108" s="202"/>
      <c r="D108" s="202"/>
      <c r="E108" s="203"/>
      <c r="F108" s="211"/>
      <c r="G108" s="569"/>
      <c r="H108" s="13"/>
      <c r="I108" s="13"/>
      <c r="J108" s="254"/>
      <c r="K108" s="259"/>
      <c r="L108" s="574"/>
      <c r="M108" s="208"/>
      <c r="N108" s="13"/>
      <c r="O108" s="254"/>
      <c r="P108" s="259"/>
      <c r="Q108" s="569"/>
      <c r="R108" s="208"/>
      <c r="S108" s="13"/>
      <c r="T108" s="254"/>
      <c r="U108" s="259"/>
      <c r="V108" s="574"/>
      <c r="W108" s="208"/>
      <c r="X108" s="13"/>
      <c r="Y108" s="254"/>
      <c r="Z108" s="259"/>
      <c r="AA108" s="641"/>
      <c r="AB108" s="95"/>
      <c r="AC108" s="13"/>
      <c r="AD108" s="254"/>
      <c r="AE108" s="259"/>
      <c r="AF108" s="591"/>
      <c r="AG108" s="13"/>
      <c r="AH108" s="13"/>
      <c r="AI108" s="57"/>
      <c r="AJ108" s="106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</row>
    <row r="109" spans="1:86" s="91" customFormat="1" ht="18" customHeight="1">
      <c r="A109" s="592" t="s">
        <v>53</v>
      </c>
      <c r="B109" s="528"/>
      <c r="C109" s="187"/>
      <c r="D109" s="188"/>
      <c r="E109" s="189"/>
      <c r="F109" s="190"/>
      <c r="G109" s="597"/>
      <c r="H109" s="120"/>
      <c r="I109" s="123"/>
      <c r="J109" s="121"/>
      <c r="K109" s="122"/>
      <c r="L109" s="597" t="s">
        <v>256</v>
      </c>
      <c r="M109" s="120" t="s">
        <v>169</v>
      </c>
      <c r="N109" s="123"/>
      <c r="O109" s="121">
        <f>ROUND(68*O$266/1000,0)</f>
        <v>40</v>
      </c>
      <c r="P109" s="122" t="s">
        <v>5</v>
      </c>
      <c r="Q109" s="597" t="s">
        <v>291</v>
      </c>
      <c r="R109" s="120" t="s">
        <v>271</v>
      </c>
      <c r="S109" s="123"/>
      <c r="T109" s="121">
        <f>ROUND(65*T$266/1000,0)</f>
        <v>38</v>
      </c>
      <c r="U109" s="122" t="s">
        <v>5</v>
      </c>
      <c r="V109" s="597" t="s">
        <v>289</v>
      </c>
      <c r="W109" s="120" t="s">
        <v>272</v>
      </c>
      <c r="X109" s="123" t="s">
        <v>269</v>
      </c>
      <c r="Y109" s="121">
        <f>ROUND(50*Y$266/1000,0)</f>
        <v>30</v>
      </c>
      <c r="Z109" s="122" t="s">
        <v>5</v>
      </c>
      <c r="AA109" s="597" t="s">
        <v>257</v>
      </c>
      <c r="AB109" s="120" t="s">
        <v>275</v>
      </c>
      <c r="AC109" s="123"/>
      <c r="AD109" s="121">
        <f>ROUND(70*AD$266/1000,0)</f>
        <v>40</v>
      </c>
      <c r="AE109" s="122" t="s">
        <v>5</v>
      </c>
      <c r="AF109" s="528"/>
      <c r="AG109" s="191"/>
      <c r="AH109" s="192"/>
      <c r="AI109" s="193"/>
      <c r="AJ109" s="190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</row>
    <row r="110" spans="1:86" s="91" customFormat="1" ht="18" customHeight="1">
      <c r="A110" s="515"/>
      <c r="B110" s="529"/>
      <c r="C110" s="194"/>
      <c r="D110" s="195"/>
      <c r="E110" s="196"/>
      <c r="F110" s="197"/>
      <c r="G110" s="598"/>
      <c r="H110" s="124"/>
      <c r="I110" s="128"/>
      <c r="J110" s="126"/>
      <c r="K110" s="127"/>
      <c r="L110" s="598"/>
      <c r="M110" s="124" t="s">
        <v>270</v>
      </c>
      <c r="N110" s="128"/>
      <c r="O110" s="126">
        <f>ROUND(8*O$266/1000,0)</f>
        <v>5</v>
      </c>
      <c r="P110" s="127" t="s">
        <v>5</v>
      </c>
      <c r="Q110" s="598"/>
      <c r="R110" s="124" t="s">
        <v>94</v>
      </c>
      <c r="S110" s="128" t="s">
        <v>95</v>
      </c>
      <c r="T110" s="126">
        <v>0.6</v>
      </c>
      <c r="U110" s="127" t="s">
        <v>5</v>
      </c>
      <c r="V110" s="598"/>
      <c r="W110" s="124" t="s">
        <v>273</v>
      </c>
      <c r="X110" s="128"/>
      <c r="Y110" s="126">
        <f>ROUND(8*Y$266/1000,0)</f>
        <v>5</v>
      </c>
      <c r="Z110" s="127" t="s">
        <v>5</v>
      </c>
      <c r="AA110" s="598"/>
      <c r="AB110" s="124" t="s">
        <v>145</v>
      </c>
      <c r="AC110" s="128"/>
      <c r="AD110" s="126">
        <v>1</v>
      </c>
      <c r="AE110" s="127" t="s">
        <v>5</v>
      </c>
      <c r="AF110" s="529"/>
      <c r="AG110" s="198"/>
      <c r="AH110" s="199"/>
      <c r="AI110" s="200"/>
      <c r="AJ110" s="197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</row>
    <row r="111" spans="1:86" s="91" customFormat="1" ht="18" customHeight="1">
      <c r="A111" s="515"/>
      <c r="B111" s="529"/>
      <c r="C111" s="194"/>
      <c r="D111" s="195"/>
      <c r="E111" s="196"/>
      <c r="F111" s="197"/>
      <c r="G111" s="598"/>
      <c r="H111" s="124"/>
      <c r="I111" s="128"/>
      <c r="J111" s="126"/>
      <c r="K111" s="127"/>
      <c r="L111" s="598"/>
      <c r="M111" s="124" t="s">
        <v>142</v>
      </c>
      <c r="N111" s="128"/>
      <c r="O111" s="126">
        <f>ROUND(5*O$266/1000,0)</f>
        <v>3</v>
      </c>
      <c r="P111" s="127" t="s">
        <v>5</v>
      </c>
      <c r="Q111" s="598"/>
      <c r="R111" s="124" t="s">
        <v>121</v>
      </c>
      <c r="S111" s="128"/>
      <c r="T111" s="126">
        <f>MROUND(10*T$266/1000,3)</f>
        <v>6</v>
      </c>
      <c r="U111" s="127" t="s">
        <v>5</v>
      </c>
      <c r="V111" s="598"/>
      <c r="W111" s="124" t="s">
        <v>102</v>
      </c>
      <c r="X111" s="128" t="s">
        <v>269</v>
      </c>
      <c r="Y111" s="126">
        <f>ROUND(8.5*Y$2/1000,0)</f>
        <v>16</v>
      </c>
      <c r="Z111" s="127" t="s">
        <v>5</v>
      </c>
      <c r="AA111" s="598"/>
      <c r="AB111" s="124"/>
      <c r="AC111" s="128"/>
      <c r="AD111" s="126"/>
      <c r="AE111" s="127" t="s">
        <v>5</v>
      </c>
      <c r="AF111" s="529"/>
      <c r="AG111" s="198"/>
      <c r="AH111" s="199"/>
      <c r="AI111" s="200"/>
      <c r="AJ111" s="197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</row>
    <row r="112" spans="1:86" s="91" customFormat="1" ht="18" customHeight="1">
      <c r="A112" s="515"/>
      <c r="B112" s="529"/>
      <c r="C112" s="194"/>
      <c r="D112" s="195"/>
      <c r="E112" s="196"/>
      <c r="F112" s="197"/>
      <c r="G112" s="598"/>
      <c r="H112" s="124"/>
      <c r="I112" s="128"/>
      <c r="J112" s="126"/>
      <c r="K112" s="127"/>
      <c r="L112" s="598"/>
      <c r="M112" s="124"/>
      <c r="N112" s="128"/>
      <c r="O112" s="126"/>
      <c r="P112" s="127" t="s">
        <v>5</v>
      </c>
      <c r="Q112" s="598"/>
      <c r="R112" s="124"/>
      <c r="S112" s="128"/>
      <c r="T112" s="126"/>
      <c r="U112" s="127" t="s">
        <v>5</v>
      </c>
      <c r="V112" s="598"/>
      <c r="W112" s="124" t="s">
        <v>274</v>
      </c>
      <c r="X112" s="128"/>
      <c r="Y112" s="126">
        <v>1</v>
      </c>
      <c r="Z112" s="127" t="s">
        <v>5</v>
      </c>
      <c r="AA112" s="598"/>
      <c r="AB112" s="124"/>
      <c r="AC112" s="128"/>
      <c r="AD112" s="126"/>
      <c r="AE112" s="127" t="s">
        <v>5</v>
      </c>
      <c r="AF112" s="529"/>
      <c r="AG112" s="198"/>
      <c r="AH112" s="199"/>
      <c r="AI112" s="200"/>
      <c r="AJ112" s="197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</row>
    <row r="113" spans="1:86" s="91" customFormat="1" ht="18" customHeight="1">
      <c r="A113" s="515"/>
      <c r="B113" s="529"/>
      <c r="C113" s="194"/>
      <c r="D113" s="195"/>
      <c r="E113" s="196"/>
      <c r="F113" s="197"/>
      <c r="G113" s="598"/>
      <c r="H113" s="124"/>
      <c r="I113" s="128"/>
      <c r="J113" s="126"/>
      <c r="K113" s="127"/>
      <c r="L113" s="598"/>
      <c r="M113" s="124"/>
      <c r="N113" s="128"/>
      <c r="O113" s="126"/>
      <c r="P113" s="127" t="s">
        <v>5</v>
      </c>
      <c r="Q113" s="598"/>
      <c r="R113" s="124"/>
      <c r="S113" s="128"/>
      <c r="T113" s="126"/>
      <c r="U113" s="127" t="s">
        <v>5</v>
      </c>
      <c r="V113" s="598"/>
      <c r="W113" s="124"/>
      <c r="X113" s="128"/>
      <c r="Y113" s="126"/>
      <c r="Z113" s="127" t="s">
        <v>5</v>
      </c>
      <c r="AA113" s="598"/>
      <c r="AB113" s="124"/>
      <c r="AC113" s="128"/>
      <c r="AD113" s="126"/>
      <c r="AE113" s="127" t="s">
        <v>5</v>
      </c>
      <c r="AF113" s="529"/>
      <c r="AG113" s="198"/>
      <c r="AH113" s="199"/>
      <c r="AI113" s="200"/>
      <c r="AJ113" s="197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</row>
    <row r="114" spans="1:86" s="91" customFormat="1" ht="18" customHeight="1">
      <c r="A114" s="515"/>
      <c r="B114" s="529"/>
      <c r="C114" s="194"/>
      <c r="D114" s="195"/>
      <c r="E114" s="196"/>
      <c r="F114" s="197"/>
      <c r="G114" s="598"/>
      <c r="H114" s="124"/>
      <c r="I114" s="128"/>
      <c r="J114" s="126"/>
      <c r="K114" s="127"/>
      <c r="L114" s="598"/>
      <c r="M114" s="124"/>
      <c r="N114" s="128"/>
      <c r="O114" s="126"/>
      <c r="P114" s="127" t="s">
        <v>5</v>
      </c>
      <c r="Q114" s="598"/>
      <c r="R114" s="124"/>
      <c r="S114" s="128"/>
      <c r="T114" s="126"/>
      <c r="U114" s="127" t="s">
        <v>5</v>
      </c>
      <c r="V114" s="598"/>
      <c r="W114" s="124"/>
      <c r="X114" s="128"/>
      <c r="Y114" s="126"/>
      <c r="Z114" s="127" t="s">
        <v>5</v>
      </c>
      <c r="AA114" s="598"/>
      <c r="AB114" s="124"/>
      <c r="AC114" s="128"/>
      <c r="AD114" s="126"/>
      <c r="AE114" s="127" t="s">
        <v>5</v>
      </c>
      <c r="AF114" s="529"/>
      <c r="AG114" s="198"/>
      <c r="AH114" s="199"/>
      <c r="AI114" s="200"/>
      <c r="AJ114" s="197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</row>
    <row r="115" spans="1:86" s="91" customFormat="1" ht="18" customHeight="1" thickBot="1">
      <c r="A115" s="515"/>
      <c r="B115" s="529"/>
      <c r="C115" s="194"/>
      <c r="D115" s="195"/>
      <c r="E115" s="196"/>
      <c r="F115" s="197"/>
      <c r="G115" s="598"/>
      <c r="H115" s="129"/>
      <c r="I115" s="132"/>
      <c r="J115" s="126"/>
      <c r="K115" s="127"/>
      <c r="L115" s="598"/>
      <c r="M115" s="129"/>
      <c r="N115" s="132"/>
      <c r="O115" s="126"/>
      <c r="P115" s="127" t="s">
        <v>5</v>
      </c>
      <c r="Q115" s="598"/>
      <c r="R115" s="129"/>
      <c r="S115" s="132"/>
      <c r="T115" s="126"/>
      <c r="U115" s="127" t="s">
        <v>5</v>
      </c>
      <c r="V115" s="598"/>
      <c r="W115" s="129"/>
      <c r="X115" s="132"/>
      <c r="Y115" s="126"/>
      <c r="Z115" s="127" t="s">
        <v>5</v>
      </c>
      <c r="AA115" s="598"/>
      <c r="AB115" s="129"/>
      <c r="AC115" s="132"/>
      <c r="AD115" s="126"/>
      <c r="AE115" s="127" t="s">
        <v>5</v>
      </c>
      <c r="AF115" s="529"/>
      <c r="AG115" s="198"/>
      <c r="AH115" s="199"/>
      <c r="AI115" s="200"/>
      <c r="AJ115" s="197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</row>
    <row r="116" spans="1:86" s="91" customFormat="1" ht="18" hidden="1" customHeight="1" thickBot="1">
      <c r="A116" s="515"/>
      <c r="B116" s="529"/>
      <c r="C116" s="194"/>
      <c r="D116" s="195"/>
      <c r="E116" s="196"/>
      <c r="F116" s="197"/>
      <c r="G116" s="598"/>
      <c r="H116" s="226"/>
      <c r="I116" s="128"/>
      <c r="J116" s="126"/>
      <c r="K116" s="127"/>
      <c r="L116" s="598"/>
      <c r="M116" s="226"/>
      <c r="N116" s="128"/>
      <c r="O116" s="126"/>
      <c r="P116" s="127"/>
      <c r="Q116" s="598"/>
      <c r="R116" s="226"/>
      <c r="S116" s="128"/>
      <c r="T116" s="126"/>
      <c r="U116" s="127"/>
      <c r="V116" s="598"/>
      <c r="W116" s="226"/>
      <c r="X116" s="128"/>
      <c r="Y116" s="126"/>
      <c r="Z116" s="127"/>
      <c r="AA116" s="598"/>
      <c r="AB116" s="226"/>
      <c r="AC116" s="128"/>
      <c r="AD116" s="126"/>
      <c r="AE116" s="127"/>
      <c r="AF116" s="529"/>
      <c r="AG116" s="198"/>
      <c r="AH116" s="199"/>
      <c r="AI116" s="200"/>
      <c r="AJ116" s="197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</row>
    <row r="117" spans="1:86" s="91" customFormat="1" ht="18" hidden="1" customHeight="1">
      <c r="A117" s="515"/>
      <c r="B117" s="529"/>
      <c r="C117" s="194"/>
      <c r="D117" s="195"/>
      <c r="E117" s="196"/>
      <c r="F117" s="197"/>
      <c r="G117" s="598"/>
      <c r="H117" s="226"/>
      <c r="I117" s="128"/>
      <c r="J117" s="126"/>
      <c r="K117" s="127"/>
      <c r="L117" s="598"/>
      <c r="M117" s="226"/>
      <c r="N117" s="128"/>
      <c r="O117" s="126"/>
      <c r="P117" s="127"/>
      <c r="Q117" s="598"/>
      <c r="R117" s="226"/>
      <c r="S117" s="128"/>
      <c r="T117" s="126"/>
      <c r="U117" s="127"/>
      <c r="V117" s="598"/>
      <c r="W117" s="226"/>
      <c r="X117" s="128"/>
      <c r="Y117" s="126"/>
      <c r="Z117" s="127"/>
      <c r="AA117" s="598"/>
      <c r="AB117" s="226"/>
      <c r="AC117" s="128"/>
      <c r="AD117" s="126"/>
      <c r="AE117" s="127"/>
      <c r="AF117" s="529"/>
      <c r="AG117" s="198"/>
      <c r="AH117" s="199"/>
      <c r="AI117" s="200"/>
      <c r="AJ117" s="19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</row>
    <row r="118" spans="1:86" s="91" customFormat="1" ht="18" hidden="1" customHeight="1">
      <c r="A118" s="515"/>
      <c r="B118" s="529"/>
      <c r="C118" s="194"/>
      <c r="D118" s="195"/>
      <c r="E118" s="196"/>
      <c r="F118" s="197"/>
      <c r="G118" s="598"/>
      <c r="H118" s="226"/>
      <c r="I118" s="128"/>
      <c r="J118" s="126"/>
      <c r="K118" s="133"/>
      <c r="L118" s="598"/>
      <c r="M118" s="226"/>
      <c r="N118" s="128"/>
      <c r="O118" s="126"/>
      <c r="P118" s="133"/>
      <c r="Q118" s="598"/>
      <c r="R118" s="226"/>
      <c r="S118" s="128"/>
      <c r="T118" s="126"/>
      <c r="U118" s="133"/>
      <c r="V118" s="598"/>
      <c r="W118" s="226"/>
      <c r="X118" s="128"/>
      <c r="Y118" s="126"/>
      <c r="Z118" s="133"/>
      <c r="AA118" s="598"/>
      <c r="AB118" s="226"/>
      <c r="AC118" s="128"/>
      <c r="AD118" s="126"/>
      <c r="AE118" s="133"/>
      <c r="AF118" s="529"/>
      <c r="AG118" s="198"/>
      <c r="AH118" s="199"/>
      <c r="AI118" s="200"/>
      <c r="AJ118" s="197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</row>
    <row r="119" spans="1:86" s="91" customFormat="1" ht="18" hidden="1" customHeight="1">
      <c r="A119" s="515"/>
      <c r="B119" s="529"/>
      <c r="C119" s="194"/>
      <c r="D119" s="195"/>
      <c r="E119" s="196"/>
      <c r="F119" s="197"/>
      <c r="G119" s="598"/>
      <c r="H119" s="226"/>
      <c r="I119" s="128"/>
      <c r="J119" s="126"/>
      <c r="K119" s="133"/>
      <c r="L119" s="598"/>
      <c r="M119" s="226"/>
      <c r="N119" s="128"/>
      <c r="O119" s="126"/>
      <c r="P119" s="133"/>
      <c r="Q119" s="598"/>
      <c r="R119" s="226"/>
      <c r="S119" s="128"/>
      <c r="T119" s="126"/>
      <c r="U119" s="133"/>
      <c r="V119" s="598"/>
      <c r="W119" s="226"/>
      <c r="X119" s="128"/>
      <c r="Y119" s="126"/>
      <c r="Z119" s="133"/>
      <c r="AA119" s="598"/>
      <c r="AB119" s="226"/>
      <c r="AC119" s="128"/>
      <c r="AD119" s="126"/>
      <c r="AE119" s="133"/>
      <c r="AF119" s="529"/>
      <c r="AG119" s="198"/>
      <c r="AH119" s="199"/>
      <c r="AI119" s="200"/>
      <c r="AJ119" s="197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</row>
    <row r="120" spans="1:86" s="91" customFormat="1" ht="18" hidden="1" customHeight="1">
      <c r="A120" s="515"/>
      <c r="B120" s="529"/>
      <c r="C120" s="194"/>
      <c r="D120" s="195"/>
      <c r="E120" s="196"/>
      <c r="F120" s="197"/>
      <c r="G120" s="598"/>
      <c r="H120" s="226"/>
      <c r="I120" s="128"/>
      <c r="J120" s="126"/>
      <c r="K120" s="133"/>
      <c r="L120" s="598"/>
      <c r="M120" s="226"/>
      <c r="N120" s="128"/>
      <c r="O120" s="126"/>
      <c r="P120" s="133"/>
      <c r="Q120" s="598"/>
      <c r="R120" s="226"/>
      <c r="S120" s="128"/>
      <c r="T120" s="126"/>
      <c r="U120" s="133"/>
      <c r="V120" s="598"/>
      <c r="W120" s="226"/>
      <c r="X120" s="128"/>
      <c r="Y120" s="126"/>
      <c r="Z120" s="133"/>
      <c r="AA120" s="598"/>
      <c r="AB120" s="226"/>
      <c r="AC120" s="128"/>
      <c r="AD120" s="126"/>
      <c r="AE120" s="133"/>
      <c r="AF120" s="529"/>
      <c r="AG120" s="198"/>
      <c r="AH120" s="199"/>
      <c r="AI120" s="200"/>
      <c r="AJ120" s="197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</row>
    <row r="121" spans="1:86" s="91" customFormat="1" ht="18" hidden="1" customHeight="1">
      <c r="A121" s="515"/>
      <c r="B121" s="529"/>
      <c r="C121" s="194"/>
      <c r="D121" s="195"/>
      <c r="E121" s="196"/>
      <c r="F121" s="197"/>
      <c r="G121" s="598"/>
      <c r="H121" s="226"/>
      <c r="I121" s="128"/>
      <c r="J121" s="126"/>
      <c r="K121" s="133"/>
      <c r="L121" s="598"/>
      <c r="M121" s="226"/>
      <c r="N121" s="128"/>
      <c r="O121" s="126"/>
      <c r="P121" s="133"/>
      <c r="Q121" s="598"/>
      <c r="R121" s="226"/>
      <c r="S121" s="128"/>
      <c r="T121" s="126"/>
      <c r="U121" s="133"/>
      <c r="V121" s="598"/>
      <c r="W121" s="226"/>
      <c r="X121" s="128"/>
      <c r="Y121" s="126"/>
      <c r="Z121" s="133"/>
      <c r="AA121" s="598"/>
      <c r="AB121" s="226"/>
      <c r="AC121" s="128"/>
      <c r="AD121" s="126"/>
      <c r="AE121" s="133"/>
      <c r="AF121" s="529"/>
      <c r="AG121" s="198"/>
      <c r="AH121" s="199"/>
      <c r="AI121" s="200"/>
      <c r="AJ121" s="197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</row>
    <row r="122" spans="1:86" s="91" customFormat="1" ht="18" hidden="1" customHeight="1">
      <c r="A122" s="515"/>
      <c r="B122" s="529"/>
      <c r="C122" s="194"/>
      <c r="D122" s="195"/>
      <c r="E122" s="196"/>
      <c r="F122" s="197"/>
      <c r="G122" s="598"/>
      <c r="H122" s="226"/>
      <c r="I122" s="128"/>
      <c r="J122" s="126"/>
      <c r="K122" s="133"/>
      <c r="L122" s="598"/>
      <c r="M122" s="226"/>
      <c r="N122" s="128"/>
      <c r="O122" s="126"/>
      <c r="P122" s="133"/>
      <c r="Q122" s="598"/>
      <c r="R122" s="226"/>
      <c r="S122" s="128"/>
      <c r="T122" s="126"/>
      <c r="U122" s="133"/>
      <c r="V122" s="598"/>
      <c r="W122" s="226"/>
      <c r="X122" s="128"/>
      <c r="Y122" s="126"/>
      <c r="Z122" s="133"/>
      <c r="AA122" s="598"/>
      <c r="AB122" s="226"/>
      <c r="AC122" s="128"/>
      <c r="AD122" s="126"/>
      <c r="AE122" s="133"/>
      <c r="AF122" s="529"/>
      <c r="AG122" s="198"/>
      <c r="AH122" s="199"/>
      <c r="AI122" s="200"/>
      <c r="AJ122" s="197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</row>
    <row r="123" spans="1:86" s="91" customFormat="1" ht="18" hidden="1" customHeight="1">
      <c r="A123" s="593"/>
      <c r="B123" s="530"/>
      <c r="C123" s="201"/>
      <c r="D123" s="202"/>
      <c r="E123" s="203"/>
      <c r="F123" s="204"/>
      <c r="G123" s="599"/>
      <c r="H123" s="130"/>
      <c r="I123" s="132"/>
      <c r="J123" s="131"/>
      <c r="K123" s="134"/>
      <c r="L123" s="599"/>
      <c r="M123" s="130"/>
      <c r="N123" s="132"/>
      <c r="O123" s="131"/>
      <c r="P123" s="134"/>
      <c r="Q123" s="599"/>
      <c r="R123" s="130"/>
      <c r="S123" s="132"/>
      <c r="T123" s="131"/>
      <c r="U123" s="134"/>
      <c r="V123" s="599"/>
      <c r="W123" s="130"/>
      <c r="X123" s="132"/>
      <c r="Y123" s="131"/>
      <c r="Z123" s="134"/>
      <c r="AA123" s="599"/>
      <c r="AB123" s="130"/>
      <c r="AC123" s="132"/>
      <c r="AD123" s="131"/>
      <c r="AE123" s="134"/>
      <c r="AF123" s="530"/>
      <c r="AG123" s="205"/>
      <c r="AH123" s="206"/>
      <c r="AI123" s="207"/>
      <c r="AJ123" s="204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</row>
    <row r="124" spans="1:86" s="91" customFormat="1" ht="18" hidden="1" customHeight="1">
      <c r="A124" s="592" t="s">
        <v>54</v>
      </c>
      <c r="B124" s="528"/>
      <c r="C124" s="187"/>
      <c r="D124" s="188"/>
      <c r="E124" s="189"/>
      <c r="F124" s="190"/>
      <c r="G124" s="529"/>
      <c r="H124" s="95"/>
      <c r="I124" s="13"/>
      <c r="J124" s="57"/>
      <c r="K124" s="105"/>
      <c r="L124" s="529"/>
      <c r="M124" s="95"/>
      <c r="N124" s="13"/>
      <c r="O124" s="57"/>
      <c r="P124" s="104"/>
      <c r="Q124" s="529"/>
      <c r="R124" s="95"/>
      <c r="S124" s="95"/>
      <c r="T124" s="57"/>
      <c r="U124" s="105"/>
      <c r="V124" s="529"/>
      <c r="W124" s="95"/>
      <c r="X124" s="13"/>
      <c r="Y124" s="57"/>
      <c r="Z124" s="105"/>
      <c r="AA124" s="529"/>
      <c r="AB124" s="208"/>
      <c r="AC124" s="13"/>
      <c r="AD124" s="57"/>
      <c r="AE124" s="105"/>
      <c r="AF124" s="528"/>
      <c r="AG124" s="191"/>
      <c r="AH124" s="192"/>
      <c r="AI124" s="193"/>
      <c r="AJ124" s="190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</row>
    <row r="125" spans="1:86" s="91" customFormat="1" ht="18" hidden="1" customHeight="1">
      <c r="A125" s="515"/>
      <c r="B125" s="529"/>
      <c r="C125" s="194"/>
      <c r="D125" s="195"/>
      <c r="E125" s="196"/>
      <c r="F125" s="197"/>
      <c r="G125" s="529"/>
      <c r="H125" s="95"/>
      <c r="I125" s="13"/>
      <c r="J125" s="57"/>
      <c r="K125" s="105"/>
      <c r="L125" s="529"/>
      <c r="M125" s="95"/>
      <c r="N125" s="13"/>
      <c r="O125" s="57"/>
      <c r="P125" s="104"/>
      <c r="Q125" s="529"/>
      <c r="R125" s="95"/>
      <c r="S125" s="95"/>
      <c r="T125" s="57"/>
      <c r="U125" s="105"/>
      <c r="V125" s="529"/>
      <c r="W125" s="95"/>
      <c r="X125" s="13"/>
      <c r="Y125" s="57"/>
      <c r="Z125" s="105"/>
      <c r="AA125" s="529"/>
      <c r="AB125" s="208"/>
      <c r="AC125" s="13"/>
      <c r="AD125" s="57"/>
      <c r="AE125" s="105"/>
      <c r="AF125" s="529"/>
      <c r="AG125" s="198"/>
      <c r="AH125" s="199"/>
      <c r="AI125" s="200"/>
      <c r="AJ125" s="197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</row>
    <row r="126" spans="1:86" s="91" customFormat="1" ht="18" hidden="1" customHeight="1">
      <c r="A126" s="515"/>
      <c r="B126" s="529"/>
      <c r="C126" s="194"/>
      <c r="D126" s="195"/>
      <c r="E126" s="196"/>
      <c r="F126" s="197"/>
      <c r="G126" s="529"/>
      <c r="H126" s="95"/>
      <c r="I126" s="13"/>
      <c r="J126" s="57"/>
      <c r="K126" s="105"/>
      <c r="L126" s="529"/>
      <c r="M126" s="95"/>
      <c r="N126" s="13"/>
      <c r="O126" s="57"/>
      <c r="P126" s="104"/>
      <c r="Q126" s="529"/>
      <c r="R126" s="95"/>
      <c r="S126" s="95"/>
      <c r="T126" s="57"/>
      <c r="U126" s="105"/>
      <c r="V126" s="529"/>
      <c r="W126" s="95"/>
      <c r="X126" s="13"/>
      <c r="Y126" s="57"/>
      <c r="Z126" s="105"/>
      <c r="AA126" s="529"/>
      <c r="AB126" s="208"/>
      <c r="AC126" s="13"/>
      <c r="AD126" s="57"/>
      <c r="AE126" s="105"/>
      <c r="AF126" s="529"/>
      <c r="AG126" s="198"/>
      <c r="AH126" s="199"/>
      <c r="AI126" s="200"/>
      <c r="AJ126" s="197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</row>
    <row r="127" spans="1:86" s="91" customFormat="1" ht="18" hidden="1" customHeight="1">
      <c r="A127" s="515"/>
      <c r="B127" s="529"/>
      <c r="C127" s="194"/>
      <c r="D127" s="195"/>
      <c r="E127" s="196"/>
      <c r="F127" s="197"/>
      <c r="G127" s="529"/>
      <c r="H127" s="95"/>
      <c r="I127" s="13"/>
      <c r="J127" s="57"/>
      <c r="K127" s="105"/>
      <c r="L127" s="529"/>
      <c r="M127" s="95"/>
      <c r="N127" s="13"/>
      <c r="O127" s="57"/>
      <c r="P127" s="104"/>
      <c r="Q127" s="529"/>
      <c r="R127" s="95"/>
      <c r="S127" s="95"/>
      <c r="T127" s="57"/>
      <c r="U127" s="105"/>
      <c r="V127" s="529"/>
      <c r="W127" s="95"/>
      <c r="X127" s="13"/>
      <c r="Y127" s="57"/>
      <c r="Z127" s="105"/>
      <c r="AA127" s="529"/>
      <c r="AB127" s="208"/>
      <c r="AC127" s="13"/>
      <c r="AD127" s="57"/>
      <c r="AE127" s="105"/>
      <c r="AF127" s="529"/>
      <c r="AG127" s="198"/>
      <c r="AH127" s="199"/>
      <c r="AI127" s="200"/>
      <c r="AJ127" s="19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</row>
    <row r="128" spans="1:86" s="91" customFormat="1" ht="18" hidden="1" customHeight="1">
      <c r="A128" s="515"/>
      <c r="B128" s="529"/>
      <c r="C128" s="194"/>
      <c r="D128" s="195"/>
      <c r="E128" s="196"/>
      <c r="F128" s="197"/>
      <c r="G128" s="529"/>
      <c r="H128" s="95"/>
      <c r="I128" s="13"/>
      <c r="J128" s="57"/>
      <c r="K128" s="105"/>
      <c r="L128" s="529"/>
      <c r="M128" s="95"/>
      <c r="N128" s="13"/>
      <c r="O128" s="57"/>
      <c r="P128" s="104"/>
      <c r="Q128" s="529"/>
      <c r="R128" s="95"/>
      <c r="S128" s="95"/>
      <c r="T128" s="57"/>
      <c r="U128" s="105"/>
      <c r="V128" s="529"/>
      <c r="W128" s="95"/>
      <c r="X128" s="13"/>
      <c r="Y128" s="57"/>
      <c r="Z128" s="105"/>
      <c r="AA128" s="529"/>
      <c r="AB128" s="208"/>
      <c r="AC128" s="13"/>
      <c r="AD128" s="57"/>
      <c r="AE128" s="105"/>
      <c r="AF128" s="529"/>
      <c r="AG128" s="198"/>
      <c r="AH128" s="199"/>
      <c r="AI128" s="200"/>
      <c r="AJ128" s="197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</row>
    <row r="129" spans="1:86" s="91" customFormat="1" ht="18" hidden="1" customHeight="1">
      <c r="A129" s="515"/>
      <c r="B129" s="529"/>
      <c r="C129" s="194"/>
      <c r="D129" s="195"/>
      <c r="E129" s="196"/>
      <c r="F129" s="197"/>
      <c r="G129" s="529"/>
      <c r="H129" s="95"/>
      <c r="I129" s="13"/>
      <c r="J129" s="57"/>
      <c r="K129" s="105"/>
      <c r="L129" s="529"/>
      <c r="M129" s="95"/>
      <c r="N129" s="13"/>
      <c r="O129" s="57"/>
      <c r="P129" s="104"/>
      <c r="Q129" s="529"/>
      <c r="R129" s="95"/>
      <c r="S129" s="95"/>
      <c r="T129" s="57"/>
      <c r="U129" s="105"/>
      <c r="V129" s="529"/>
      <c r="W129" s="95"/>
      <c r="X129" s="13"/>
      <c r="Y129" s="57"/>
      <c r="Z129" s="105"/>
      <c r="AA129" s="529"/>
      <c r="AB129" s="208"/>
      <c r="AC129" s="13"/>
      <c r="AD129" s="57"/>
      <c r="AE129" s="105"/>
      <c r="AF129" s="529"/>
      <c r="AG129" s="198"/>
      <c r="AH129" s="199"/>
      <c r="AI129" s="200"/>
      <c r="AJ129" s="197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</row>
    <row r="130" spans="1:86" s="91" customFormat="1" ht="18" hidden="1" customHeight="1">
      <c r="A130" s="515"/>
      <c r="B130" s="529"/>
      <c r="C130" s="194"/>
      <c r="D130" s="195"/>
      <c r="E130" s="196"/>
      <c r="F130" s="197"/>
      <c r="G130" s="529"/>
      <c r="H130" s="95"/>
      <c r="I130" s="13"/>
      <c r="J130" s="57"/>
      <c r="K130" s="105"/>
      <c r="L130" s="529"/>
      <c r="M130" s="95"/>
      <c r="N130" s="13"/>
      <c r="O130" s="57"/>
      <c r="P130" s="104"/>
      <c r="Q130" s="529"/>
      <c r="R130" s="95"/>
      <c r="S130" s="95"/>
      <c r="T130" s="57"/>
      <c r="U130" s="105"/>
      <c r="V130" s="529"/>
      <c r="W130" s="95"/>
      <c r="X130" s="13"/>
      <c r="Y130" s="57"/>
      <c r="Z130" s="105"/>
      <c r="AA130" s="529"/>
      <c r="AB130" s="208"/>
      <c r="AC130" s="13"/>
      <c r="AD130" s="57"/>
      <c r="AE130" s="105"/>
      <c r="AF130" s="529"/>
      <c r="AG130" s="198"/>
      <c r="AH130" s="199"/>
      <c r="AI130" s="200"/>
      <c r="AJ130" s="197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</row>
    <row r="131" spans="1:86" s="91" customFormat="1" ht="18" hidden="1" customHeight="1">
      <c r="A131" s="515"/>
      <c r="B131" s="529"/>
      <c r="C131" s="194"/>
      <c r="D131" s="195"/>
      <c r="E131" s="196"/>
      <c r="F131" s="197"/>
      <c r="G131" s="529"/>
      <c r="H131" s="95"/>
      <c r="I131" s="13"/>
      <c r="J131" s="57"/>
      <c r="K131" s="105"/>
      <c r="L131" s="529"/>
      <c r="M131" s="95"/>
      <c r="N131" s="13"/>
      <c r="O131" s="57"/>
      <c r="P131" s="104"/>
      <c r="Q131" s="529"/>
      <c r="R131" s="95"/>
      <c r="S131" s="95"/>
      <c r="T131" s="57"/>
      <c r="U131" s="105"/>
      <c r="V131" s="529"/>
      <c r="W131" s="95"/>
      <c r="X131" s="13"/>
      <c r="Y131" s="57"/>
      <c r="Z131" s="105"/>
      <c r="AA131" s="529"/>
      <c r="AB131" s="208"/>
      <c r="AC131" s="13"/>
      <c r="AD131" s="57"/>
      <c r="AE131" s="105"/>
      <c r="AF131" s="529"/>
      <c r="AG131" s="198"/>
      <c r="AH131" s="199"/>
      <c r="AI131" s="200"/>
      <c r="AJ131" s="197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</row>
    <row r="132" spans="1:86" s="91" customFormat="1" ht="18" hidden="1" customHeight="1">
      <c r="A132" s="515"/>
      <c r="B132" s="529"/>
      <c r="C132" s="194"/>
      <c r="D132" s="195"/>
      <c r="E132" s="196"/>
      <c r="F132" s="197"/>
      <c r="G132" s="529"/>
      <c r="H132" s="95"/>
      <c r="I132" s="13"/>
      <c r="J132" s="57"/>
      <c r="K132" s="105"/>
      <c r="L132" s="529"/>
      <c r="M132" s="95"/>
      <c r="N132" s="13"/>
      <c r="O132" s="57"/>
      <c r="P132" s="104"/>
      <c r="Q132" s="529"/>
      <c r="R132" s="95"/>
      <c r="S132" s="95"/>
      <c r="T132" s="57"/>
      <c r="U132" s="105"/>
      <c r="V132" s="529"/>
      <c r="W132" s="95"/>
      <c r="X132" s="13"/>
      <c r="Y132" s="57"/>
      <c r="Z132" s="105"/>
      <c r="AA132" s="529"/>
      <c r="AB132" s="208"/>
      <c r="AC132" s="13"/>
      <c r="AD132" s="57"/>
      <c r="AE132" s="105"/>
      <c r="AF132" s="529"/>
      <c r="AG132" s="198"/>
      <c r="AH132" s="199"/>
      <c r="AI132" s="200"/>
      <c r="AJ132" s="197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</row>
    <row r="133" spans="1:86" s="91" customFormat="1" ht="18" hidden="1" customHeight="1">
      <c r="A133" s="515"/>
      <c r="B133" s="529"/>
      <c r="C133" s="194"/>
      <c r="D133" s="195"/>
      <c r="E133" s="196"/>
      <c r="F133" s="197"/>
      <c r="G133" s="529"/>
      <c r="H133" s="95"/>
      <c r="I133" s="13"/>
      <c r="J133" s="57"/>
      <c r="K133" s="105"/>
      <c r="L133" s="529"/>
      <c r="M133" s="95"/>
      <c r="N133" s="13"/>
      <c r="O133" s="57"/>
      <c r="P133" s="104"/>
      <c r="Q133" s="529"/>
      <c r="R133" s="95"/>
      <c r="S133" s="95"/>
      <c r="T133" s="57"/>
      <c r="U133" s="105"/>
      <c r="V133" s="529"/>
      <c r="W133" s="95"/>
      <c r="X133" s="13"/>
      <c r="Y133" s="57"/>
      <c r="Z133" s="105"/>
      <c r="AA133" s="529"/>
      <c r="AB133" s="208"/>
      <c r="AC133" s="13"/>
      <c r="AD133" s="57"/>
      <c r="AE133" s="105"/>
      <c r="AF133" s="529"/>
      <c r="AG133" s="198"/>
      <c r="AH133" s="199"/>
      <c r="AI133" s="200"/>
      <c r="AJ133" s="197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</row>
    <row r="134" spans="1:86" s="91" customFormat="1" ht="18" hidden="1" customHeight="1">
      <c r="A134" s="515"/>
      <c r="B134" s="529"/>
      <c r="C134" s="194"/>
      <c r="D134" s="195"/>
      <c r="E134" s="196"/>
      <c r="F134" s="197"/>
      <c r="G134" s="529"/>
      <c r="H134" s="95"/>
      <c r="I134" s="13"/>
      <c r="J134" s="57"/>
      <c r="K134" s="105"/>
      <c r="L134" s="529"/>
      <c r="M134" s="95"/>
      <c r="N134" s="13"/>
      <c r="O134" s="57"/>
      <c r="P134" s="104"/>
      <c r="Q134" s="529"/>
      <c r="R134" s="95"/>
      <c r="S134" s="95"/>
      <c r="T134" s="57"/>
      <c r="U134" s="105"/>
      <c r="V134" s="529"/>
      <c r="W134" s="95"/>
      <c r="X134" s="13"/>
      <c r="Y134" s="57"/>
      <c r="Z134" s="105"/>
      <c r="AA134" s="529"/>
      <c r="AB134" s="208"/>
      <c r="AC134" s="13"/>
      <c r="AD134" s="57"/>
      <c r="AE134" s="105"/>
      <c r="AF134" s="529"/>
      <c r="AG134" s="198"/>
      <c r="AH134" s="199"/>
      <c r="AI134" s="200"/>
      <c r="AJ134" s="197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</row>
    <row r="135" spans="1:86" s="91" customFormat="1" ht="18" hidden="1" customHeight="1">
      <c r="A135" s="515"/>
      <c r="B135" s="529"/>
      <c r="C135" s="194"/>
      <c r="D135" s="195"/>
      <c r="E135" s="196"/>
      <c r="F135" s="197"/>
      <c r="G135" s="529"/>
      <c r="H135" s="95"/>
      <c r="I135" s="13"/>
      <c r="J135" s="57"/>
      <c r="K135" s="105"/>
      <c r="L135" s="529"/>
      <c r="M135" s="95"/>
      <c r="N135" s="13"/>
      <c r="O135" s="57"/>
      <c r="P135" s="104"/>
      <c r="Q135" s="529"/>
      <c r="R135" s="95"/>
      <c r="S135" s="95"/>
      <c r="T135" s="57"/>
      <c r="U135" s="105"/>
      <c r="V135" s="529"/>
      <c r="W135" s="95"/>
      <c r="X135" s="13"/>
      <c r="Y135" s="57"/>
      <c r="Z135" s="105"/>
      <c r="AA135" s="529"/>
      <c r="AB135" s="208"/>
      <c r="AC135" s="13"/>
      <c r="AD135" s="57"/>
      <c r="AE135" s="105"/>
      <c r="AF135" s="529"/>
      <c r="AG135" s="198"/>
      <c r="AH135" s="199"/>
      <c r="AI135" s="200"/>
      <c r="AJ135" s="197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</row>
    <row r="136" spans="1:86" s="91" customFormat="1" ht="18" hidden="1" customHeight="1">
      <c r="A136" s="515"/>
      <c r="B136" s="529"/>
      <c r="C136" s="194"/>
      <c r="D136" s="195"/>
      <c r="E136" s="196"/>
      <c r="F136" s="197"/>
      <c r="G136" s="529"/>
      <c r="H136" s="95"/>
      <c r="I136" s="13"/>
      <c r="J136" s="57"/>
      <c r="K136" s="105"/>
      <c r="L136" s="529"/>
      <c r="M136" s="95"/>
      <c r="N136" s="13"/>
      <c r="O136" s="57"/>
      <c r="P136" s="104"/>
      <c r="Q136" s="529"/>
      <c r="R136" s="95"/>
      <c r="S136" s="95"/>
      <c r="T136" s="57"/>
      <c r="U136" s="105"/>
      <c r="V136" s="529"/>
      <c r="W136" s="95"/>
      <c r="X136" s="13"/>
      <c r="Y136" s="57"/>
      <c r="Z136" s="105"/>
      <c r="AA136" s="529"/>
      <c r="AB136" s="208"/>
      <c r="AC136" s="13"/>
      <c r="AD136" s="57"/>
      <c r="AE136" s="105"/>
      <c r="AF136" s="529"/>
      <c r="AG136" s="198"/>
      <c r="AH136" s="199"/>
      <c r="AI136" s="200"/>
      <c r="AJ136" s="197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</row>
    <row r="137" spans="1:86" s="91" customFormat="1" ht="18" hidden="1" customHeight="1">
      <c r="A137" s="515"/>
      <c r="B137" s="529"/>
      <c r="C137" s="194"/>
      <c r="D137" s="195"/>
      <c r="E137" s="196"/>
      <c r="F137" s="197"/>
      <c r="G137" s="529"/>
      <c r="H137" s="95"/>
      <c r="I137" s="13"/>
      <c r="J137" s="57"/>
      <c r="K137" s="105"/>
      <c r="L137" s="529"/>
      <c r="M137" s="95"/>
      <c r="N137" s="13"/>
      <c r="O137" s="57"/>
      <c r="P137" s="104"/>
      <c r="Q137" s="529"/>
      <c r="R137" s="95"/>
      <c r="S137" s="95"/>
      <c r="T137" s="57"/>
      <c r="U137" s="105"/>
      <c r="V137" s="529"/>
      <c r="W137" s="95"/>
      <c r="X137" s="13"/>
      <c r="Y137" s="57"/>
      <c r="Z137" s="105"/>
      <c r="AA137" s="529"/>
      <c r="AB137" s="208"/>
      <c r="AC137" s="13"/>
      <c r="AD137" s="57"/>
      <c r="AE137" s="105"/>
      <c r="AF137" s="529"/>
      <c r="AG137" s="198"/>
      <c r="AH137" s="199"/>
      <c r="AI137" s="200"/>
      <c r="AJ137" s="19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</row>
    <row r="138" spans="1:86" s="91" customFormat="1" ht="18" hidden="1" customHeight="1">
      <c r="A138" s="593"/>
      <c r="B138" s="530"/>
      <c r="C138" s="201"/>
      <c r="D138" s="202"/>
      <c r="E138" s="203"/>
      <c r="F138" s="204"/>
      <c r="G138" s="530"/>
      <c r="H138" s="95"/>
      <c r="I138" s="13"/>
      <c r="J138" s="57"/>
      <c r="K138" s="107"/>
      <c r="L138" s="530"/>
      <c r="M138" s="95"/>
      <c r="N138" s="13"/>
      <c r="O138" s="57"/>
      <c r="P138" s="106"/>
      <c r="Q138" s="530"/>
      <c r="R138" s="95"/>
      <c r="S138" s="95"/>
      <c r="T138" s="57"/>
      <c r="U138" s="107"/>
      <c r="V138" s="530"/>
      <c r="W138" s="95"/>
      <c r="X138" s="13"/>
      <c r="Y138" s="57"/>
      <c r="Z138" s="107"/>
      <c r="AA138" s="530"/>
      <c r="AB138" s="208"/>
      <c r="AC138" s="13"/>
      <c r="AD138" s="57"/>
      <c r="AE138" s="107"/>
      <c r="AF138" s="530"/>
      <c r="AG138" s="205"/>
      <c r="AH138" s="206"/>
      <c r="AI138" s="207"/>
      <c r="AJ138" s="204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</row>
    <row r="139" spans="1:86" s="91" customFormat="1" ht="18" hidden="1" customHeight="1">
      <c r="A139" s="592" t="s">
        <v>55</v>
      </c>
      <c r="B139" s="528"/>
      <c r="C139" s="187"/>
      <c r="D139" s="188"/>
      <c r="E139" s="189"/>
      <c r="F139" s="190"/>
      <c r="G139" s="528"/>
      <c r="H139" s="95"/>
      <c r="I139" s="13"/>
      <c r="J139" s="57"/>
      <c r="K139" s="108"/>
      <c r="L139" s="528"/>
      <c r="M139" s="95"/>
      <c r="N139" s="13"/>
      <c r="O139" s="57"/>
      <c r="P139" s="110"/>
      <c r="Q139" s="528"/>
      <c r="R139" s="95"/>
      <c r="S139" s="95"/>
      <c r="T139" s="57"/>
      <c r="U139" s="108"/>
      <c r="V139" s="528"/>
      <c r="W139" s="95"/>
      <c r="X139" s="13"/>
      <c r="Y139" s="57"/>
      <c r="Z139" s="108"/>
      <c r="AA139" s="528"/>
      <c r="AB139" s="208"/>
      <c r="AC139" s="13"/>
      <c r="AD139" s="57"/>
      <c r="AE139" s="108"/>
      <c r="AF139" s="528"/>
      <c r="AG139" s="191"/>
      <c r="AH139" s="192"/>
      <c r="AI139" s="193"/>
      <c r="AJ139" s="190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</row>
    <row r="140" spans="1:86" s="91" customFormat="1" ht="18" hidden="1" customHeight="1">
      <c r="A140" s="515"/>
      <c r="B140" s="529"/>
      <c r="C140" s="194"/>
      <c r="D140" s="195"/>
      <c r="E140" s="196"/>
      <c r="F140" s="197"/>
      <c r="G140" s="529"/>
      <c r="H140" s="95"/>
      <c r="I140" s="13"/>
      <c r="J140" s="57"/>
      <c r="K140" s="105"/>
      <c r="L140" s="529"/>
      <c r="M140" s="95"/>
      <c r="N140" s="13"/>
      <c r="O140" s="57"/>
      <c r="P140" s="104"/>
      <c r="Q140" s="529"/>
      <c r="R140" s="95"/>
      <c r="S140" s="95"/>
      <c r="T140" s="57"/>
      <c r="U140" s="105"/>
      <c r="V140" s="529"/>
      <c r="W140" s="95"/>
      <c r="X140" s="13"/>
      <c r="Y140" s="57"/>
      <c r="Z140" s="105"/>
      <c r="AA140" s="529"/>
      <c r="AB140" s="208"/>
      <c r="AC140" s="13"/>
      <c r="AD140" s="57"/>
      <c r="AE140" s="105"/>
      <c r="AF140" s="529"/>
      <c r="AG140" s="198"/>
      <c r="AH140" s="199"/>
      <c r="AI140" s="200"/>
      <c r="AJ140" s="197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</row>
    <row r="141" spans="1:86" s="91" customFormat="1" ht="18" hidden="1" customHeight="1">
      <c r="A141" s="515"/>
      <c r="B141" s="529"/>
      <c r="C141" s="194"/>
      <c r="D141" s="195"/>
      <c r="E141" s="196"/>
      <c r="F141" s="197"/>
      <c r="G141" s="529"/>
      <c r="H141" s="95"/>
      <c r="I141" s="13"/>
      <c r="J141" s="57"/>
      <c r="K141" s="105"/>
      <c r="L141" s="529"/>
      <c r="M141" s="95"/>
      <c r="N141" s="13"/>
      <c r="O141" s="57"/>
      <c r="P141" s="104"/>
      <c r="Q141" s="529"/>
      <c r="R141" s="95"/>
      <c r="S141" s="95"/>
      <c r="T141" s="57"/>
      <c r="U141" s="105"/>
      <c r="V141" s="529"/>
      <c r="W141" s="95"/>
      <c r="X141" s="13"/>
      <c r="Y141" s="57"/>
      <c r="Z141" s="105"/>
      <c r="AA141" s="529"/>
      <c r="AB141" s="208"/>
      <c r="AC141" s="13"/>
      <c r="AD141" s="57"/>
      <c r="AE141" s="105"/>
      <c r="AF141" s="529"/>
      <c r="AG141" s="198"/>
      <c r="AH141" s="199"/>
      <c r="AI141" s="200"/>
      <c r="AJ141" s="197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</row>
    <row r="142" spans="1:86" s="91" customFormat="1" ht="18" hidden="1" customHeight="1">
      <c r="A142" s="515"/>
      <c r="B142" s="529"/>
      <c r="C142" s="194"/>
      <c r="D142" s="195"/>
      <c r="E142" s="196"/>
      <c r="F142" s="197"/>
      <c r="G142" s="529"/>
      <c r="H142" s="95"/>
      <c r="I142" s="13"/>
      <c r="J142" s="57"/>
      <c r="K142" s="105"/>
      <c r="L142" s="529"/>
      <c r="M142" s="95"/>
      <c r="N142" s="13"/>
      <c r="O142" s="57"/>
      <c r="P142" s="104"/>
      <c r="Q142" s="529"/>
      <c r="R142" s="95"/>
      <c r="S142" s="95"/>
      <c r="T142" s="57"/>
      <c r="U142" s="105"/>
      <c r="V142" s="529"/>
      <c r="W142" s="95"/>
      <c r="X142" s="13"/>
      <c r="Y142" s="57"/>
      <c r="Z142" s="105"/>
      <c r="AA142" s="529"/>
      <c r="AB142" s="208"/>
      <c r="AC142" s="13"/>
      <c r="AD142" s="57"/>
      <c r="AE142" s="105"/>
      <c r="AF142" s="529"/>
      <c r="AG142" s="198"/>
      <c r="AH142" s="199"/>
      <c r="AI142" s="200"/>
      <c r="AJ142" s="197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</row>
    <row r="143" spans="1:86" s="91" customFormat="1" ht="18" hidden="1" customHeight="1">
      <c r="A143" s="515"/>
      <c r="B143" s="529"/>
      <c r="C143" s="194"/>
      <c r="D143" s="195"/>
      <c r="E143" s="196"/>
      <c r="F143" s="197"/>
      <c r="G143" s="529"/>
      <c r="H143" s="95"/>
      <c r="I143" s="13"/>
      <c r="J143" s="57"/>
      <c r="K143" s="105"/>
      <c r="L143" s="529"/>
      <c r="M143" s="95"/>
      <c r="N143" s="13"/>
      <c r="O143" s="57"/>
      <c r="P143" s="104"/>
      <c r="Q143" s="529"/>
      <c r="R143" s="95"/>
      <c r="S143" s="95"/>
      <c r="T143" s="57"/>
      <c r="U143" s="105"/>
      <c r="V143" s="529"/>
      <c r="W143" s="95"/>
      <c r="X143" s="13"/>
      <c r="Y143" s="57"/>
      <c r="Z143" s="105"/>
      <c r="AA143" s="529"/>
      <c r="AB143" s="208"/>
      <c r="AC143" s="13"/>
      <c r="AD143" s="57"/>
      <c r="AE143" s="105"/>
      <c r="AF143" s="529"/>
      <c r="AG143" s="198"/>
      <c r="AH143" s="199"/>
      <c r="AI143" s="200"/>
      <c r="AJ143" s="197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</row>
    <row r="144" spans="1:86" s="91" customFormat="1" ht="18" hidden="1" customHeight="1">
      <c r="A144" s="515"/>
      <c r="B144" s="529"/>
      <c r="C144" s="194"/>
      <c r="D144" s="195"/>
      <c r="E144" s="196"/>
      <c r="F144" s="197"/>
      <c r="G144" s="529"/>
      <c r="H144" s="95"/>
      <c r="I144" s="13"/>
      <c r="J144" s="57"/>
      <c r="K144" s="105"/>
      <c r="L144" s="529"/>
      <c r="M144" s="95"/>
      <c r="N144" s="13"/>
      <c r="O144" s="57"/>
      <c r="P144" s="104"/>
      <c r="Q144" s="529"/>
      <c r="R144" s="95"/>
      <c r="S144" s="95"/>
      <c r="T144" s="57"/>
      <c r="U144" s="105"/>
      <c r="V144" s="529"/>
      <c r="W144" s="95"/>
      <c r="X144" s="13"/>
      <c r="Y144" s="57"/>
      <c r="Z144" s="105"/>
      <c r="AA144" s="529"/>
      <c r="AB144" s="208"/>
      <c r="AC144" s="13"/>
      <c r="AD144" s="57"/>
      <c r="AE144" s="105"/>
      <c r="AF144" s="529"/>
      <c r="AG144" s="198"/>
      <c r="AH144" s="199"/>
      <c r="AI144" s="200"/>
      <c r="AJ144" s="197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</row>
    <row r="145" spans="1:86" s="91" customFormat="1" ht="18" hidden="1" customHeight="1">
      <c r="A145" s="515"/>
      <c r="B145" s="529"/>
      <c r="C145" s="194"/>
      <c r="D145" s="195"/>
      <c r="E145" s="196"/>
      <c r="F145" s="197"/>
      <c r="G145" s="529"/>
      <c r="H145" s="95"/>
      <c r="I145" s="13"/>
      <c r="J145" s="57"/>
      <c r="K145" s="105"/>
      <c r="L145" s="529"/>
      <c r="M145" s="95"/>
      <c r="N145" s="13"/>
      <c r="O145" s="57"/>
      <c r="P145" s="104"/>
      <c r="Q145" s="529"/>
      <c r="R145" s="95"/>
      <c r="S145" s="95"/>
      <c r="T145" s="57"/>
      <c r="U145" s="105"/>
      <c r="V145" s="529"/>
      <c r="W145" s="95"/>
      <c r="X145" s="13"/>
      <c r="Y145" s="57"/>
      <c r="Z145" s="105"/>
      <c r="AA145" s="529"/>
      <c r="AB145" s="208"/>
      <c r="AC145" s="13"/>
      <c r="AD145" s="57"/>
      <c r="AE145" s="105"/>
      <c r="AF145" s="529"/>
      <c r="AG145" s="198"/>
      <c r="AH145" s="199"/>
      <c r="AI145" s="200"/>
      <c r="AJ145" s="197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</row>
    <row r="146" spans="1:86" s="91" customFormat="1" ht="18" hidden="1" customHeight="1">
      <c r="A146" s="515"/>
      <c r="B146" s="529"/>
      <c r="C146" s="194"/>
      <c r="D146" s="195"/>
      <c r="E146" s="196"/>
      <c r="F146" s="197"/>
      <c r="G146" s="529"/>
      <c r="H146" s="95"/>
      <c r="I146" s="13"/>
      <c r="J146" s="57"/>
      <c r="K146" s="105"/>
      <c r="L146" s="529"/>
      <c r="M146" s="95"/>
      <c r="N146" s="13"/>
      <c r="O146" s="57"/>
      <c r="P146" s="104"/>
      <c r="Q146" s="529"/>
      <c r="R146" s="95"/>
      <c r="S146" s="95"/>
      <c r="T146" s="57"/>
      <c r="U146" s="105"/>
      <c r="V146" s="529"/>
      <c r="W146" s="95"/>
      <c r="X146" s="13"/>
      <c r="Y146" s="57"/>
      <c r="Z146" s="105"/>
      <c r="AA146" s="529"/>
      <c r="AB146" s="208"/>
      <c r="AC146" s="13"/>
      <c r="AD146" s="57"/>
      <c r="AE146" s="105"/>
      <c r="AF146" s="529"/>
      <c r="AG146" s="198"/>
      <c r="AH146" s="199"/>
      <c r="AI146" s="200"/>
      <c r="AJ146" s="197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</row>
    <row r="147" spans="1:86" s="91" customFormat="1" ht="18" hidden="1" customHeight="1">
      <c r="A147" s="515"/>
      <c r="B147" s="529"/>
      <c r="C147" s="194"/>
      <c r="D147" s="195"/>
      <c r="E147" s="196"/>
      <c r="F147" s="197"/>
      <c r="G147" s="529"/>
      <c r="H147" s="95"/>
      <c r="I147" s="13"/>
      <c r="J147" s="57"/>
      <c r="K147" s="105"/>
      <c r="L147" s="529"/>
      <c r="M147" s="95"/>
      <c r="N147" s="13"/>
      <c r="O147" s="57"/>
      <c r="P147" s="104"/>
      <c r="Q147" s="529"/>
      <c r="R147" s="95"/>
      <c r="S147" s="95"/>
      <c r="T147" s="57"/>
      <c r="U147" s="105"/>
      <c r="V147" s="529"/>
      <c r="W147" s="95"/>
      <c r="X147" s="13"/>
      <c r="Y147" s="57"/>
      <c r="Z147" s="105"/>
      <c r="AA147" s="529"/>
      <c r="AB147" s="208"/>
      <c r="AC147" s="13"/>
      <c r="AD147" s="57"/>
      <c r="AE147" s="105"/>
      <c r="AF147" s="529"/>
      <c r="AG147" s="198"/>
      <c r="AH147" s="199"/>
      <c r="AI147" s="200"/>
      <c r="AJ147" s="19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</row>
    <row r="148" spans="1:86" s="91" customFormat="1" ht="18" hidden="1" customHeight="1">
      <c r="A148" s="515"/>
      <c r="B148" s="529"/>
      <c r="C148" s="194"/>
      <c r="D148" s="195"/>
      <c r="E148" s="196"/>
      <c r="F148" s="197"/>
      <c r="G148" s="529"/>
      <c r="H148" s="95"/>
      <c r="I148" s="13"/>
      <c r="J148" s="57"/>
      <c r="K148" s="105"/>
      <c r="L148" s="529"/>
      <c r="M148" s="95"/>
      <c r="N148" s="13"/>
      <c r="O148" s="57"/>
      <c r="P148" s="104"/>
      <c r="Q148" s="529"/>
      <c r="R148" s="95"/>
      <c r="S148" s="95"/>
      <c r="T148" s="57"/>
      <c r="U148" s="105"/>
      <c r="V148" s="529"/>
      <c r="W148" s="95"/>
      <c r="X148" s="13"/>
      <c r="Y148" s="57"/>
      <c r="Z148" s="105"/>
      <c r="AA148" s="529"/>
      <c r="AB148" s="208"/>
      <c r="AC148" s="13"/>
      <c r="AD148" s="57"/>
      <c r="AE148" s="105"/>
      <c r="AF148" s="529"/>
      <c r="AG148" s="198"/>
      <c r="AH148" s="199"/>
      <c r="AI148" s="200"/>
      <c r="AJ148" s="197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</row>
    <row r="149" spans="1:86" s="91" customFormat="1" ht="18" hidden="1" customHeight="1">
      <c r="A149" s="515"/>
      <c r="B149" s="529"/>
      <c r="C149" s="194"/>
      <c r="D149" s="195"/>
      <c r="E149" s="196"/>
      <c r="F149" s="197"/>
      <c r="G149" s="529"/>
      <c r="H149" s="95"/>
      <c r="I149" s="13"/>
      <c r="J149" s="57"/>
      <c r="K149" s="105"/>
      <c r="L149" s="529"/>
      <c r="M149" s="95"/>
      <c r="N149" s="13"/>
      <c r="O149" s="57"/>
      <c r="P149" s="104"/>
      <c r="Q149" s="529"/>
      <c r="R149" s="95"/>
      <c r="S149" s="95"/>
      <c r="T149" s="57"/>
      <c r="U149" s="105"/>
      <c r="V149" s="529"/>
      <c r="W149" s="95"/>
      <c r="X149" s="13"/>
      <c r="Y149" s="57"/>
      <c r="Z149" s="105"/>
      <c r="AA149" s="529"/>
      <c r="AB149" s="208"/>
      <c r="AC149" s="13"/>
      <c r="AD149" s="57"/>
      <c r="AE149" s="105"/>
      <c r="AF149" s="529"/>
      <c r="AG149" s="198"/>
      <c r="AH149" s="199"/>
      <c r="AI149" s="200"/>
      <c r="AJ149" s="197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</row>
    <row r="150" spans="1:86" s="91" customFormat="1" ht="18" hidden="1" customHeight="1">
      <c r="A150" s="515"/>
      <c r="B150" s="529"/>
      <c r="C150" s="194"/>
      <c r="D150" s="195"/>
      <c r="E150" s="196"/>
      <c r="F150" s="197"/>
      <c r="G150" s="529"/>
      <c r="H150" s="95"/>
      <c r="I150" s="13"/>
      <c r="J150" s="57"/>
      <c r="K150" s="105"/>
      <c r="L150" s="529"/>
      <c r="M150" s="95"/>
      <c r="N150" s="13"/>
      <c r="O150" s="57"/>
      <c r="P150" s="104"/>
      <c r="Q150" s="529"/>
      <c r="R150" s="95"/>
      <c r="S150" s="95"/>
      <c r="T150" s="57"/>
      <c r="U150" s="105"/>
      <c r="V150" s="529"/>
      <c r="W150" s="95"/>
      <c r="X150" s="13"/>
      <c r="Y150" s="57"/>
      <c r="Z150" s="105"/>
      <c r="AA150" s="529"/>
      <c r="AB150" s="208"/>
      <c r="AC150" s="13"/>
      <c r="AD150" s="57"/>
      <c r="AE150" s="105"/>
      <c r="AF150" s="529"/>
      <c r="AG150" s="198"/>
      <c r="AH150" s="199"/>
      <c r="AI150" s="200"/>
      <c r="AJ150" s="197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</row>
    <row r="151" spans="1:86" s="91" customFormat="1" ht="18" hidden="1" customHeight="1">
      <c r="A151" s="515"/>
      <c r="B151" s="529"/>
      <c r="C151" s="194"/>
      <c r="D151" s="195"/>
      <c r="E151" s="196"/>
      <c r="F151" s="197"/>
      <c r="G151" s="529"/>
      <c r="H151" s="95"/>
      <c r="I151" s="13"/>
      <c r="J151" s="57"/>
      <c r="K151" s="105"/>
      <c r="L151" s="529"/>
      <c r="M151" s="95"/>
      <c r="N151" s="13"/>
      <c r="O151" s="57"/>
      <c r="P151" s="104"/>
      <c r="Q151" s="529"/>
      <c r="R151" s="95"/>
      <c r="S151" s="95"/>
      <c r="T151" s="57"/>
      <c r="U151" s="105"/>
      <c r="V151" s="529"/>
      <c r="W151" s="95"/>
      <c r="X151" s="13"/>
      <c r="Y151" s="57"/>
      <c r="Z151" s="105"/>
      <c r="AA151" s="529"/>
      <c r="AB151" s="208"/>
      <c r="AC151" s="13"/>
      <c r="AD151" s="57"/>
      <c r="AE151" s="105"/>
      <c r="AF151" s="529"/>
      <c r="AG151" s="198"/>
      <c r="AH151" s="199"/>
      <c r="AI151" s="200"/>
      <c r="AJ151" s="197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</row>
    <row r="152" spans="1:86" s="91" customFormat="1" ht="18" hidden="1" customHeight="1">
      <c r="A152" s="515"/>
      <c r="B152" s="529"/>
      <c r="C152" s="194"/>
      <c r="D152" s="195"/>
      <c r="E152" s="196"/>
      <c r="F152" s="197"/>
      <c r="G152" s="529"/>
      <c r="H152" s="95"/>
      <c r="I152" s="13"/>
      <c r="J152" s="57"/>
      <c r="K152" s="105"/>
      <c r="L152" s="529"/>
      <c r="M152" s="95"/>
      <c r="N152" s="13"/>
      <c r="O152" s="57"/>
      <c r="P152" s="104"/>
      <c r="Q152" s="529"/>
      <c r="R152" s="95"/>
      <c r="S152" s="95"/>
      <c r="T152" s="57"/>
      <c r="U152" s="105"/>
      <c r="V152" s="529"/>
      <c r="W152" s="95"/>
      <c r="X152" s="13"/>
      <c r="Y152" s="57"/>
      <c r="Z152" s="105"/>
      <c r="AA152" s="529"/>
      <c r="AB152" s="208"/>
      <c r="AC152" s="13"/>
      <c r="AD152" s="57"/>
      <c r="AE152" s="105"/>
      <c r="AF152" s="529"/>
      <c r="AG152" s="198"/>
      <c r="AH152" s="199"/>
      <c r="AI152" s="200"/>
      <c r="AJ152" s="197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</row>
    <row r="153" spans="1:86" s="91" customFormat="1" ht="18" hidden="1" customHeight="1">
      <c r="A153" s="593"/>
      <c r="B153" s="530"/>
      <c r="C153" s="201"/>
      <c r="D153" s="202"/>
      <c r="E153" s="203"/>
      <c r="F153" s="204"/>
      <c r="G153" s="530"/>
      <c r="H153" s="95"/>
      <c r="I153" s="13"/>
      <c r="J153" s="57"/>
      <c r="K153" s="107"/>
      <c r="L153" s="530"/>
      <c r="M153" s="95"/>
      <c r="N153" s="13"/>
      <c r="O153" s="57"/>
      <c r="P153" s="106"/>
      <c r="Q153" s="530"/>
      <c r="R153" s="95"/>
      <c r="S153" s="95"/>
      <c r="T153" s="57"/>
      <c r="U153" s="107"/>
      <c r="V153" s="530"/>
      <c r="W153" s="95"/>
      <c r="X153" s="13"/>
      <c r="Y153" s="57"/>
      <c r="Z153" s="107"/>
      <c r="AA153" s="530"/>
      <c r="AB153" s="208"/>
      <c r="AC153" s="13"/>
      <c r="AD153" s="57"/>
      <c r="AE153" s="107"/>
      <c r="AF153" s="530"/>
      <c r="AG153" s="205"/>
      <c r="AH153" s="206"/>
      <c r="AI153" s="207"/>
      <c r="AJ153" s="204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</row>
    <row r="154" spans="1:86" s="91" customFormat="1" ht="18" hidden="1" customHeight="1">
      <c r="A154" s="592" t="s">
        <v>56</v>
      </c>
      <c r="B154" s="528"/>
      <c r="C154" s="187"/>
      <c r="D154" s="188"/>
      <c r="E154" s="189"/>
      <c r="F154" s="190"/>
      <c r="G154" s="528"/>
      <c r="H154" s="95"/>
      <c r="I154" s="13"/>
      <c r="J154" s="57"/>
      <c r="K154" s="108"/>
      <c r="L154" s="528"/>
      <c r="M154" s="95"/>
      <c r="N154" s="13"/>
      <c r="O154" s="57"/>
      <c r="P154" s="110"/>
      <c r="Q154" s="528"/>
      <c r="R154" s="95"/>
      <c r="S154" s="95"/>
      <c r="T154" s="57"/>
      <c r="U154" s="108"/>
      <c r="V154" s="528"/>
      <c r="W154" s="95"/>
      <c r="X154" s="13"/>
      <c r="Y154" s="57"/>
      <c r="Z154" s="108"/>
      <c r="AA154" s="528"/>
      <c r="AB154" s="208"/>
      <c r="AC154" s="13"/>
      <c r="AD154" s="57"/>
      <c r="AE154" s="108"/>
      <c r="AF154" s="528"/>
      <c r="AG154" s="191"/>
      <c r="AH154" s="192"/>
      <c r="AI154" s="193"/>
      <c r="AJ154" s="190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</row>
    <row r="155" spans="1:86" s="91" customFormat="1" ht="18" hidden="1" customHeight="1">
      <c r="A155" s="515"/>
      <c r="B155" s="529"/>
      <c r="C155" s="194"/>
      <c r="D155" s="195"/>
      <c r="E155" s="196"/>
      <c r="F155" s="197"/>
      <c r="G155" s="529"/>
      <c r="H155" s="95"/>
      <c r="I155" s="13"/>
      <c r="J155" s="57"/>
      <c r="K155" s="105"/>
      <c r="L155" s="529"/>
      <c r="M155" s="95"/>
      <c r="N155" s="13"/>
      <c r="O155" s="57"/>
      <c r="P155" s="104"/>
      <c r="Q155" s="529"/>
      <c r="R155" s="95"/>
      <c r="S155" s="95"/>
      <c r="T155" s="57"/>
      <c r="U155" s="105"/>
      <c r="V155" s="529"/>
      <c r="W155" s="95"/>
      <c r="X155" s="13"/>
      <c r="Y155" s="57"/>
      <c r="Z155" s="105"/>
      <c r="AA155" s="529"/>
      <c r="AB155" s="208"/>
      <c r="AC155" s="13"/>
      <c r="AD155" s="57"/>
      <c r="AE155" s="105"/>
      <c r="AF155" s="529"/>
      <c r="AG155" s="198"/>
      <c r="AH155" s="199"/>
      <c r="AI155" s="200"/>
      <c r="AJ155" s="197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</row>
    <row r="156" spans="1:86" s="91" customFormat="1" ht="18" hidden="1" customHeight="1">
      <c r="A156" s="515"/>
      <c r="B156" s="529"/>
      <c r="C156" s="194"/>
      <c r="D156" s="195"/>
      <c r="E156" s="196"/>
      <c r="F156" s="197"/>
      <c r="G156" s="529"/>
      <c r="H156" s="95"/>
      <c r="I156" s="13"/>
      <c r="J156" s="57"/>
      <c r="K156" s="105"/>
      <c r="L156" s="529"/>
      <c r="M156" s="95"/>
      <c r="N156" s="13"/>
      <c r="O156" s="57"/>
      <c r="P156" s="104"/>
      <c r="Q156" s="529"/>
      <c r="R156" s="95"/>
      <c r="S156" s="95"/>
      <c r="T156" s="57"/>
      <c r="U156" s="105"/>
      <c r="V156" s="529"/>
      <c r="W156" s="95"/>
      <c r="X156" s="13"/>
      <c r="Y156" s="57"/>
      <c r="Z156" s="105"/>
      <c r="AA156" s="529"/>
      <c r="AB156" s="208"/>
      <c r="AC156" s="13"/>
      <c r="AD156" s="57"/>
      <c r="AE156" s="105"/>
      <c r="AF156" s="529"/>
      <c r="AG156" s="198"/>
      <c r="AH156" s="199"/>
      <c r="AI156" s="200"/>
      <c r="AJ156" s="197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</row>
    <row r="157" spans="1:86" s="91" customFormat="1" ht="18" hidden="1" customHeight="1">
      <c r="A157" s="515"/>
      <c r="B157" s="529"/>
      <c r="C157" s="194"/>
      <c r="D157" s="195"/>
      <c r="E157" s="196"/>
      <c r="F157" s="197"/>
      <c r="G157" s="529"/>
      <c r="H157" s="95"/>
      <c r="I157" s="13"/>
      <c r="J157" s="57"/>
      <c r="K157" s="105"/>
      <c r="L157" s="529"/>
      <c r="M157" s="95"/>
      <c r="N157" s="13"/>
      <c r="O157" s="57"/>
      <c r="P157" s="104"/>
      <c r="Q157" s="529"/>
      <c r="R157" s="95"/>
      <c r="S157" s="95"/>
      <c r="T157" s="57"/>
      <c r="U157" s="105"/>
      <c r="V157" s="529"/>
      <c r="W157" s="95"/>
      <c r="X157" s="13"/>
      <c r="Y157" s="57"/>
      <c r="Z157" s="105"/>
      <c r="AA157" s="529"/>
      <c r="AB157" s="208"/>
      <c r="AC157" s="13"/>
      <c r="AD157" s="57"/>
      <c r="AE157" s="105"/>
      <c r="AF157" s="529"/>
      <c r="AG157" s="198"/>
      <c r="AH157" s="199"/>
      <c r="AI157" s="200"/>
      <c r="AJ157" s="19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</row>
    <row r="158" spans="1:86" s="91" customFormat="1" ht="18" hidden="1" customHeight="1">
      <c r="A158" s="515"/>
      <c r="B158" s="529"/>
      <c r="C158" s="194"/>
      <c r="D158" s="195"/>
      <c r="E158" s="196"/>
      <c r="F158" s="197"/>
      <c r="G158" s="529"/>
      <c r="H158" s="95"/>
      <c r="I158" s="13"/>
      <c r="J158" s="57"/>
      <c r="K158" s="105"/>
      <c r="L158" s="529"/>
      <c r="M158" s="95"/>
      <c r="N158" s="13"/>
      <c r="O158" s="57"/>
      <c r="P158" s="104"/>
      <c r="Q158" s="529"/>
      <c r="R158" s="95"/>
      <c r="S158" s="95"/>
      <c r="T158" s="57"/>
      <c r="U158" s="105"/>
      <c r="V158" s="529"/>
      <c r="W158" s="95"/>
      <c r="X158" s="13"/>
      <c r="Y158" s="57"/>
      <c r="Z158" s="105"/>
      <c r="AA158" s="529"/>
      <c r="AB158" s="208"/>
      <c r="AC158" s="13"/>
      <c r="AD158" s="57"/>
      <c r="AE158" s="105"/>
      <c r="AF158" s="529"/>
      <c r="AG158" s="198"/>
      <c r="AH158" s="199"/>
      <c r="AI158" s="200"/>
      <c r="AJ158" s="197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</row>
    <row r="159" spans="1:86" s="91" customFormat="1" ht="18" hidden="1" customHeight="1">
      <c r="A159" s="515"/>
      <c r="B159" s="529"/>
      <c r="C159" s="194"/>
      <c r="D159" s="195"/>
      <c r="E159" s="196"/>
      <c r="F159" s="197"/>
      <c r="G159" s="529"/>
      <c r="H159" s="95"/>
      <c r="I159" s="13"/>
      <c r="J159" s="57"/>
      <c r="K159" s="105"/>
      <c r="L159" s="529"/>
      <c r="M159" s="95"/>
      <c r="N159" s="13"/>
      <c r="O159" s="57"/>
      <c r="P159" s="104"/>
      <c r="Q159" s="529"/>
      <c r="R159" s="95"/>
      <c r="S159" s="95"/>
      <c r="T159" s="57"/>
      <c r="U159" s="105"/>
      <c r="V159" s="529"/>
      <c r="W159" s="95"/>
      <c r="X159" s="13"/>
      <c r="Y159" s="57"/>
      <c r="Z159" s="105"/>
      <c r="AA159" s="529"/>
      <c r="AB159" s="208"/>
      <c r="AC159" s="13"/>
      <c r="AD159" s="57"/>
      <c r="AE159" s="105"/>
      <c r="AF159" s="529"/>
      <c r="AG159" s="198"/>
      <c r="AH159" s="199"/>
      <c r="AI159" s="200"/>
      <c r="AJ159" s="197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</row>
    <row r="160" spans="1:86" s="91" customFormat="1" ht="18" hidden="1" customHeight="1">
      <c r="A160" s="515"/>
      <c r="B160" s="529"/>
      <c r="C160" s="194"/>
      <c r="D160" s="195"/>
      <c r="E160" s="196"/>
      <c r="F160" s="197"/>
      <c r="G160" s="529"/>
      <c r="H160" s="95"/>
      <c r="I160" s="13"/>
      <c r="J160" s="57"/>
      <c r="K160" s="105"/>
      <c r="L160" s="529"/>
      <c r="M160" s="95"/>
      <c r="N160" s="13"/>
      <c r="O160" s="57"/>
      <c r="P160" s="104"/>
      <c r="Q160" s="529"/>
      <c r="R160" s="95"/>
      <c r="S160" s="95"/>
      <c r="T160" s="57"/>
      <c r="U160" s="105"/>
      <c r="V160" s="529"/>
      <c r="W160" s="95"/>
      <c r="X160" s="13"/>
      <c r="Y160" s="57"/>
      <c r="Z160" s="105"/>
      <c r="AA160" s="529"/>
      <c r="AB160" s="208"/>
      <c r="AC160" s="13"/>
      <c r="AD160" s="57"/>
      <c r="AE160" s="105"/>
      <c r="AF160" s="529"/>
      <c r="AG160" s="198"/>
      <c r="AH160" s="199"/>
      <c r="AI160" s="200"/>
      <c r="AJ160" s="197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</row>
    <row r="161" spans="1:86" s="91" customFormat="1" ht="18" hidden="1" customHeight="1">
      <c r="A161" s="515"/>
      <c r="B161" s="529"/>
      <c r="C161" s="194"/>
      <c r="D161" s="195"/>
      <c r="E161" s="196"/>
      <c r="F161" s="197"/>
      <c r="G161" s="529"/>
      <c r="H161" s="95"/>
      <c r="I161" s="13"/>
      <c r="J161" s="57"/>
      <c r="K161" s="105"/>
      <c r="L161" s="529"/>
      <c r="M161" s="95"/>
      <c r="N161" s="13"/>
      <c r="O161" s="57"/>
      <c r="P161" s="104"/>
      <c r="Q161" s="529"/>
      <c r="R161" s="95"/>
      <c r="S161" s="95"/>
      <c r="T161" s="57"/>
      <c r="U161" s="105"/>
      <c r="V161" s="529"/>
      <c r="W161" s="95"/>
      <c r="X161" s="13"/>
      <c r="Y161" s="57"/>
      <c r="Z161" s="105"/>
      <c r="AA161" s="529"/>
      <c r="AB161" s="208"/>
      <c r="AC161" s="13"/>
      <c r="AD161" s="57"/>
      <c r="AE161" s="105"/>
      <c r="AF161" s="529"/>
      <c r="AG161" s="198"/>
      <c r="AH161" s="199"/>
      <c r="AI161" s="200"/>
      <c r="AJ161" s="197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</row>
    <row r="162" spans="1:86" s="91" customFormat="1" ht="18" hidden="1" customHeight="1">
      <c r="A162" s="515"/>
      <c r="B162" s="529"/>
      <c r="C162" s="194"/>
      <c r="D162" s="195"/>
      <c r="E162" s="196"/>
      <c r="F162" s="197"/>
      <c r="G162" s="529"/>
      <c r="H162" s="95"/>
      <c r="I162" s="13"/>
      <c r="J162" s="57"/>
      <c r="K162" s="105"/>
      <c r="L162" s="529"/>
      <c r="M162" s="95"/>
      <c r="N162" s="13"/>
      <c r="O162" s="57"/>
      <c r="P162" s="104"/>
      <c r="Q162" s="529"/>
      <c r="R162" s="95"/>
      <c r="S162" s="95"/>
      <c r="T162" s="57"/>
      <c r="U162" s="105"/>
      <c r="V162" s="529"/>
      <c r="W162" s="95"/>
      <c r="X162" s="13"/>
      <c r="Y162" s="57"/>
      <c r="Z162" s="105"/>
      <c r="AA162" s="529"/>
      <c r="AB162" s="208"/>
      <c r="AC162" s="13"/>
      <c r="AD162" s="57"/>
      <c r="AE162" s="105"/>
      <c r="AF162" s="529"/>
      <c r="AG162" s="198"/>
      <c r="AH162" s="199"/>
      <c r="AI162" s="200"/>
      <c r="AJ162" s="197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</row>
    <row r="163" spans="1:86" s="91" customFormat="1" ht="18" hidden="1" customHeight="1">
      <c r="A163" s="515"/>
      <c r="B163" s="529"/>
      <c r="C163" s="194"/>
      <c r="D163" s="195"/>
      <c r="E163" s="196"/>
      <c r="F163" s="197"/>
      <c r="G163" s="529"/>
      <c r="H163" s="95"/>
      <c r="I163" s="13"/>
      <c r="J163" s="57"/>
      <c r="K163" s="105"/>
      <c r="L163" s="529"/>
      <c r="M163" s="95"/>
      <c r="N163" s="13"/>
      <c r="O163" s="57"/>
      <c r="P163" s="104"/>
      <c r="Q163" s="529"/>
      <c r="R163" s="95"/>
      <c r="S163" s="95"/>
      <c r="T163" s="57"/>
      <c r="U163" s="105"/>
      <c r="V163" s="529"/>
      <c r="W163" s="95"/>
      <c r="X163" s="13"/>
      <c r="Y163" s="57"/>
      <c r="Z163" s="105"/>
      <c r="AA163" s="529"/>
      <c r="AB163" s="208"/>
      <c r="AC163" s="13"/>
      <c r="AD163" s="57"/>
      <c r="AE163" s="105"/>
      <c r="AF163" s="529"/>
      <c r="AG163" s="198"/>
      <c r="AH163" s="199"/>
      <c r="AI163" s="200"/>
      <c r="AJ163" s="197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</row>
    <row r="164" spans="1:86" s="91" customFormat="1" ht="18" hidden="1" customHeight="1">
      <c r="A164" s="515"/>
      <c r="B164" s="529"/>
      <c r="C164" s="194"/>
      <c r="D164" s="195"/>
      <c r="E164" s="196"/>
      <c r="F164" s="197"/>
      <c r="G164" s="529"/>
      <c r="H164" s="95"/>
      <c r="I164" s="13"/>
      <c r="J164" s="57"/>
      <c r="K164" s="105"/>
      <c r="L164" s="529"/>
      <c r="M164" s="95"/>
      <c r="N164" s="13"/>
      <c r="O164" s="57"/>
      <c r="P164" s="104"/>
      <c r="Q164" s="529"/>
      <c r="R164" s="95"/>
      <c r="S164" s="95"/>
      <c r="T164" s="57"/>
      <c r="U164" s="105"/>
      <c r="V164" s="529"/>
      <c r="W164" s="95"/>
      <c r="X164" s="13"/>
      <c r="Y164" s="57"/>
      <c r="Z164" s="105"/>
      <c r="AA164" s="529"/>
      <c r="AB164" s="208"/>
      <c r="AC164" s="13"/>
      <c r="AD164" s="57"/>
      <c r="AE164" s="105"/>
      <c r="AF164" s="529"/>
      <c r="AG164" s="198"/>
      <c r="AH164" s="199"/>
      <c r="AI164" s="200"/>
      <c r="AJ164" s="197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</row>
    <row r="165" spans="1:86" s="91" customFormat="1" ht="18" hidden="1" customHeight="1">
      <c r="A165" s="515"/>
      <c r="B165" s="529"/>
      <c r="C165" s="194"/>
      <c r="D165" s="195"/>
      <c r="E165" s="196"/>
      <c r="F165" s="197"/>
      <c r="G165" s="529"/>
      <c r="H165" s="95"/>
      <c r="I165" s="13"/>
      <c r="J165" s="57"/>
      <c r="K165" s="105"/>
      <c r="L165" s="529"/>
      <c r="M165" s="95"/>
      <c r="N165" s="13"/>
      <c r="O165" s="57"/>
      <c r="P165" s="104"/>
      <c r="Q165" s="529"/>
      <c r="R165" s="95"/>
      <c r="S165" s="95"/>
      <c r="T165" s="57"/>
      <c r="U165" s="105"/>
      <c r="V165" s="529"/>
      <c r="W165" s="95"/>
      <c r="X165" s="13"/>
      <c r="Y165" s="57"/>
      <c r="Z165" s="105"/>
      <c r="AA165" s="529"/>
      <c r="AB165" s="208"/>
      <c r="AC165" s="13"/>
      <c r="AD165" s="57"/>
      <c r="AE165" s="105"/>
      <c r="AF165" s="529"/>
      <c r="AG165" s="198"/>
      <c r="AH165" s="199"/>
      <c r="AI165" s="200"/>
      <c r="AJ165" s="197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</row>
    <row r="166" spans="1:86" s="91" customFormat="1" ht="18" hidden="1" customHeight="1">
      <c r="A166" s="515"/>
      <c r="B166" s="529"/>
      <c r="C166" s="194"/>
      <c r="D166" s="195"/>
      <c r="E166" s="196"/>
      <c r="F166" s="197"/>
      <c r="G166" s="529"/>
      <c r="H166" s="95"/>
      <c r="I166" s="13"/>
      <c r="J166" s="57"/>
      <c r="K166" s="105"/>
      <c r="L166" s="529"/>
      <c r="M166" s="95"/>
      <c r="N166" s="13"/>
      <c r="O166" s="57"/>
      <c r="P166" s="104"/>
      <c r="Q166" s="529"/>
      <c r="R166" s="95"/>
      <c r="S166" s="95"/>
      <c r="T166" s="57"/>
      <c r="U166" s="105"/>
      <c r="V166" s="529"/>
      <c r="W166" s="95"/>
      <c r="X166" s="13"/>
      <c r="Y166" s="57"/>
      <c r="Z166" s="105"/>
      <c r="AA166" s="529"/>
      <c r="AB166" s="208"/>
      <c r="AC166" s="13"/>
      <c r="AD166" s="57"/>
      <c r="AE166" s="105"/>
      <c r="AF166" s="529"/>
      <c r="AG166" s="198"/>
      <c r="AH166" s="199"/>
      <c r="AI166" s="200"/>
      <c r="AJ166" s="197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</row>
    <row r="167" spans="1:86" s="91" customFormat="1" ht="18" hidden="1" customHeight="1">
      <c r="A167" s="515"/>
      <c r="B167" s="529"/>
      <c r="C167" s="194"/>
      <c r="D167" s="195"/>
      <c r="E167" s="196"/>
      <c r="F167" s="197"/>
      <c r="G167" s="529"/>
      <c r="H167" s="95"/>
      <c r="I167" s="13"/>
      <c r="J167" s="57"/>
      <c r="K167" s="105"/>
      <c r="L167" s="529"/>
      <c r="M167" s="95"/>
      <c r="N167" s="13"/>
      <c r="O167" s="57"/>
      <c r="P167" s="104"/>
      <c r="Q167" s="529"/>
      <c r="R167" s="95"/>
      <c r="S167" s="95"/>
      <c r="T167" s="57"/>
      <c r="U167" s="105"/>
      <c r="V167" s="529"/>
      <c r="W167" s="95"/>
      <c r="X167" s="13"/>
      <c r="Y167" s="57"/>
      <c r="Z167" s="105"/>
      <c r="AA167" s="529"/>
      <c r="AB167" s="208"/>
      <c r="AC167" s="13"/>
      <c r="AD167" s="57"/>
      <c r="AE167" s="105"/>
      <c r="AF167" s="529"/>
      <c r="AG167" s="198"/>
      <c r="AH167" s="199"/>
      <c r="AI167" s="200"/>
      <c r="AJ167" s="19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</row>
    <row r="168" spans="1:86" s="91" customFormat="1" ht="18" hidden="1" customHeight="1">
      <c r="A168" s="593"/>
      <c r="B168" s="530"/>
      <c r="C168" s="201"/>
      <c r="D168" s="202"/>
      <c r="E168" s="203"/>
      <c r="F168" s="204"/>
      <c r="G168" s="530"/>
      <c r="H168" s="95"/>
      <c r="I168" s="13"/>
      <c r="J168" s="57"/>
      <c r="K168" s="107"/>
      <c r="L168" s="530"/>
      <c r="M168" s="95"/>
      <c r="N168" s="13"/>
      <c r="O168" s="57"/>
      <c r="P168" s="106"/>
      <c r="Q168" s="530"/>
      <c r="R168" s="95"/>
      <c r="S168" s="95"/>
      <c r="T168" s="57"/>
      <c r="U168" s="107"/>
      <c r="V168" s="530"/>
      <c r="W168" s="95"/>
      <c r="X168" s="13"/>
      <c r="Y168" s="57"/>
      <c r="Z168" s="107"/>
      <c r="AA168" s="530"/>
      <c r="AB168" s="208"/>
      <c r="AC168" s="13"/>
      <c r="AD168" s="57"/>
      <c r="AE168" s="107"/>
      <c r="AF168" s="530"/>
      <c r="AG168" s="205"/>
      <c r="AH168" s="206"/>
      <c r="AI168" s="207"/>
      <c r="AJ168" s="204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</row>
    <row r="169" spans="1:86" s="91" customFormat="1" ht="18" hidden="1" customHeight="1">
      <c r="A169" s="592" t="s">
        <v>57</v>
      </c>
      <c r="B169" s="528"/>
      <c r="C169" s="187"/>
      <c r="D169" s="188"/>
      <c r="E169" s="189"/>
      <c r="F169" s="190"/>
      <c r="G169" s="528"/>
      <c r="H169" s="95"/>
      <c r="I169" s="13"/>
      <c r="J169" s="57"/>
      <c r="K169" s="108"/>
      <c r="L169" s="528"/>
      <c r="M169" s="95"/>
      <c r="N169" s="13"/>
      <c r="O169" s="57"/>
      <c r="P169" s="110"/>
      <c r="Q169" s="528"/>
      <c r="R169" s="95"/>
      <c r="S169" s="95"/>
      <c r="T169" s="57"/>
      <c r="U169" s="108"/>
      <c r="V169" s="528"/>
      <c r="W169" s="95"/>
      <c r="X169" s="13"/>
      <c r="Y169" s="57"/>
      <c r="Z169" s="108"/>
      <c r="AA169" s="528"/>
      <c r="AB169" s="208"/>
      <c r="AC169" s="13"/>
      <c r="AD169" s="57"/>
      <c r="AE169" s="108"/>
      <c r="AF169" s="528"/>
      <c r="AG169" s="191"/>
      <c r="AH169" s="192"/>
      <c r="AI169" s="193"/>
      <c r="AJ169" s="190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</row>
    <row r="170" spans="1:86" s="91" customFormat="1" ht="18" hidden="1" customHeight="1">
      <c r="A170" s="515"/>
      <c r="B170" s="529"/>
      <c r="C170" s="194"/>
      <c r="D170" s="195"/>
      <c r="E170" s="196"/>
      <c r="F170" s="197"/>
      <c r="G170" s="529"/>
      <c r="H170" s="95"/>
      <c r="I170" s="13"/>
      <c r="J170" s="57"/>
      <c r="K170" s="105"/>
      <c r="L170" s="529"/>
      <c r="M170" s="95"/>
      <c r="N170" s="13"/>
      <c r="O170" s="57"/>
      <c r="P170" s="104"/>
      <c r="Q170" s="529"/>
      <c r="R170" s="95"/>
      <c r="S170" s="95"/>
      <c r="T170" s="57"/>
      <c r="U170" s="105"/>
      <c r="V170" s="529"/>
      <c r="W170" s="95"/>
      <c r="X170" s="13"/>
      <c r="Y170" s="57"/>
      <c r="Z170" s="105"/>
      <c r="AA170" s="529"/>
      <c r="AB170" s="208"/>
      <c r="AC170" s="13"/>
      <c r="AD170" s="57"/>
      <c r="AE170" s="105"/>
      <c r="AF170" s="529"/>
      <c r="AG170" s="198"/>
      <c r="AH170" s="199"/>
      <c r="AI170" s="200"/>
      <c r="AJ170" s="197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</row>
    <row r="171" spans="1:86" s="91" customFormat="1" ht="18" hidden="1" customHeight="1">
      <c r="A171" s="515"/>
      <c r="B171" s="529"/>
      <c r="C171" s="194"/>
      <c r="D171" s="195"/>
      <c r="E171" s="196"/>
      <c r="F171" s="197"/>
      <c r="G171" s="529"/>
      <c r="H171" s="95"/>
      <c r="I171" s="13"/>
      <c r="J171" s="57"/>
      <c r="K171" s="105"/>
      <c r="L171" s="529"/>
      <c r="M171" s="95"/>
      <c r="N171" s="13"/>
      <c r="O171" s="57"/>
      <c r="P171" s="104"/>
      <c r="Q171" s="529"/>
      <c r="R171" s="95"/>
      <c r="S171" s="95"/>
      <c r="T171" s="57"/>
      <c r="U171" s="105"/>
      <c r="V171" s="529"/>
      <c r="W171" s="95"/>
      <c r="X171" s="13"/>
      <c r="Y171" s="57"/>
      <c r="Z171" s="105"/>
      <c r="AA171" s="529"/>
      <c r="AB171" s="208"/>
      <c r="AC171" s="13"/>
      <c r="AD171" s="57"/>
      <c r="AE171" s="105"/>
      <c r="AF171" s="529"/>
      <c r="AG171" s="198"/>
      <c r="AH171" s="199"/>
      <c r="AI171" s="200"/>
      <c r="AJ171" s="197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</row>
    <row r="172" spans="1:86" s="91" customFormat="1" ht="18" hidden="1" customHeight="1">
      <c r="A172" s="515"/>
      <c r="B172" s="529"/>
      <c r="C172" s="194"/>
      <c r="D172" s="195"/>
      <c r="E172" s="196"/>
      <c r="F172" s="197"/>
      <c r="G172" s="529"/>
      <c r="H172" s="95"/>
      <c r="I172" s="13"/>
      <c r="J172" s="57"/>
      <c r="K172" s="105"/>
      <c r="L172" s="529"/>
      <c r="M172" s="95"/>
      <c r="N172" s="13"/>
      <c r="O172" s="57"/>
      <c r="P172" s="104"/>
      <c r="Q172" s="529"/>
      <c r="R172" s="95"/>
      <c r="S172" s="95"/>
      <c r="T172" s="57"/>
      <c r="U172" s="105"/>
      <c r="V172" s="529"/>
      <c r="W172" s="95"/>
      <c r="X172" s="13"/>
      <c r="Y172" s="57"/>
      <c r="Z172" s="105"/>
      <c r="AA172" s="529"/>
      <c r="AB172" s="208"/>
      <c r="AC172" s="13"/>
      <c r="AD172" s="57"/>
      <c r="AE172" s="105"/>
      <c r="AF172" s="529"/>
      <c r="AG172" s="198"/>
      <c r="AH172" s="199"/>
      <c r="AI172" s="200"/>
      <c r="AJ172" s="197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</row>
    <row r="173" spans="1:86" s="91" customFormat="1" ht="18" hidden="1" customHeight="1">
      <c r="A173" s="515"/>
      <c r="B173" s="529"/>
      <c r="C173" s="194"/>
      <c r="D173" s="195"/>
      <c r="E173" s="196"/>
      <c r="F173" s="197"/>
      <c r="G173" s="529"/>
      <c r="H173" s="95"/>
      <c r="I173" s="13"/>
      <c r="J173" s="57"/>
      <c r="K173" s="105"/>
      <c r="L173" s="529"/>
      <c r="M173" s="95"/>
      <c r="N173" s="13"/>
      <c r="O173" s="57"/>
      <c r="P173" s="104"/>
      <c r="Q173" s="529"/>
      <c r="R173" s="95"/>
      <c r="S173" s="95"/>
      <c r="T173" s="57"/>
      <c r="U173" s="105"/>
      <c r="V173" s="529"/>
      <c r="W173" s="95"/>
      <c r="X173" s="13"/>
      <c r="Y173" s="57"/>
      <c r="Z173" s="105"/>
      <c r="AA173" s="529"/>
      <c r="AB173" s="208"/>
      <c r="AC173" s="13"/>
      <c r="AD173" s="57"/>
      <c r="AE173" s="105"/>
      <c r="AF173" s="529"/>
      <c r="AG173" s="198"/>
      <c r="AH173" s="199"/>
      <c r="AI173" s="200"/>
      <c r="AJ173" s="197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</row>
    <row r="174" spans="1:86" s="91" customFormat="1" ht="18" hidden="1" customHeight="1">
      <c r="A174" s="515"/>
      <c r="B174" s="529"/>
      <c r="C174" s="194"/>
      <c r="D174" s="195"/>
      <c r="E174" s="196"/>
      <c r="F174" s="197"/>
      <c r="G174" s="529"/>
      <c r="H174" s="95"/>
      <c r="I174" s="13"/>
      <c r="J174" s="57"/>
      <c r="K174" s="105"/>
      <c r="L174" s="529"/>
      <c r="M174" s="95"/>
      <c r="N174" s="13"/>
      <c r="O174" s="57"/>
      <c r="P174" s="104"/>
      <c r="Q174" s="529"/>
      <c r="R174" s="95"/>
      <c r="S174" s="95"/>
      <c r="T174" s="57"/>
      <c r="U174" s="105"/>
      <c r="V174" s="529"/>
      <c r="W174" s="95"/>
      <c r="X174" s="13"/>
      <c r="Y174" s="57"/>
      <c r="Z174" s="105"/>
      <c r="AA174" s="529"/>
      <c r="AB174" s="208"/>
      <c r="AC174" s="13"/>
      <c r="AD174" s="57"/>
      <c r="AE174" s="105"/>
      <c r="AF174" s="529"/>
      <c r="AG174" s="198"/>
      <c r="AH174" s="199"/>
      <c r="AI174" s="200"/>
      <c r="AJ174" s="197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</row>
    <row r="175" spans="1:86" s="91" customFormat="1" ht="18" hidden="1" customHeight="1">
      <c r="A175" s="515"/>
      <c r="B175" s="529"/>
      <c r="C175" s="194"/>
      <c r="D175" s="195"/>
      <c r="E175" s="196"/>
      <c r="F175" s="197"/>
      <c r="G175" s="529"/>
      <c r="H175" s="95"/>
      <c r="I175" s="13"/>
      <c r="J175" s="57"/>
      <c r="K175" s="105"/>
      <c r="L175" s="529"/>
      <c r="M175" s="95"/>
      <c r="N175" s="13"/>
      <c r="O175" s="57"/>
      <c r="P175" s="104"/>
      <c r="Q175" s="529"/>
      <c r="R175" s="95"/>
      <c r="S175" s="95"/>
      <c r="T175" s="57"/>
      <c r="U175" s="105"/>
      <c r="V175" s="529"/>
      <c r="W175" s="95"/>
      <c r="X175" s="13"/>
      <c r="Y175" s="57"/>
      <c r="Z175" s="105"/>
      <c r="AA175" s="529"/>
      <c r="AB175" s="208"/>
      <c r="AC175" s="13"/>
      <c r="AD175" s="57"/>
      <c r="AE175" s="105"/>
      <c r="AF175" s="529"/>
      <c r="AG175" s="198"/>
      <c r="AH175" s="199"/>
      <c r="AI175" s="200"/>
      <c r="AJ175" s="197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</row>
    <row r="176" spans="1:86" s="91" customFormat="1" ht="18" hidden="1" customHeight="1">
      <c r="A176" s="515"/>
      <c r="B176" s="529"/>
      <c r="C176" s="194"/>
      <c r="D176" s="195"/>
      <c r="E176" s="196"/>
      <c r="F176" s="197"/>
      <c r="G176" s="529"/>
      <c r="H176" s="95"/>
      <c r="I176" s="13"/>
      <c r="J176" s="57"/>
      <c r="K176" s="105"/>
      <c r="L176" s="529"/>
      <c r="M176" s="95"/>
      <c r="N176" s="13"/>
      <c r="O176" s="57"/>
      <c r="P176" s="104"/>
      <c r="Q176" s="529"/>
      <c r="R176" s="95"/>
      <c r="S176" s="95"/>
      <c r="T176" s="57"/>
      <c r="U176" s="105"/>
      <c r="V176" s="529"/>
      <c r="W176" s="95"/>
      <c r="X176" s="13"/>
      <c r="Y176" s="57"/>
      <c r="Z176" s="105"/>
      <c r="AA176" s="529"/>
      <c r="AB176" s="208"/>
      <c r="AC176" s="13"/>
      <c r="AD176" s="57"/>
      <c r="AE176" s="105"/>
      <c r="AF176" s="529"/>
      <c r="AG176" s="198"/>
      <c r="AH176" s="199"/>
      <c r="AI176" s="200"/>
      <c r="AJ176" s="197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</row>
    <row r="177" spans="1:86" s="91" customFormat="1" ht="18" hidden="1" customHeight="1">
      <c r="A177" s="515"/>
      <c r="B177" s="529"/>
      <c r="C177" s="194"/>
      <c r="D177" s="195"/>
      <c r="E177" s="196"/>
      <c r="F177" s="197"/>
      <c r="G177" s="529"/>
      <c r="H177" s="95"/>
      <c r="I177" s="13"/>
      <c r="J177" s="57"/>
      <c r="K177" s="105"/>
      <c r="L177" s="529"/>
      <c r="M177" s="95"/>
      <c r="N177" s="13"/>
      <c r="O177" s="57"/>
      <c r="P177" s="104"/>
      <c r="Q177" s="529"/>
      <c r="R177" s="95"/>
      <c r="S177" s="95"/>
      <c r="T177" s="57"/>
      <c r="U177" s="105"/>
      <c r="V177" s="529"/>
      <c r="W177" s="95"/>
      <c r="X177" s="13"/>
      <c r="Y177" s="57"/>
      <c r="Z177" s="105"/>
      <c r="AA177" s="529"/>
      <c r="AB177" s="208"/>
      <c r="AC177" s="13"/>
      <c r="AD177" s="57"/>
      <c r="AE177" s="105"/>
      <c r="AF177" s="529"/>
      <c r="AG177" s="198"/>
      <c r="AH177" s="199"/>
      <c r="AI177" s="200"/>
      <c r="AJ177" s="19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</row>
    <row r="178" spans="1:86" s="91" customFormat="1" ht="18" hidden="1" customHeight="1">
      <c r="A178" s="515"/>
      <c r="B178" s="529"/>
      <c r="C178" s="194"/>
      <c r="D178" s="195"/>
      <c r="E178" s="196"/>
      <c r="F178" s="197"/>
      <c r="G178" s="529"/>
      <c r="H178" s="95"/>
      <c r="I178" s="13"/>
      <c r="J178" s="57"/>
      <c r="K178" s="105"/>
      <c r="L178" s="529"/>
      <c r="M178" s="95"/>
      <c r="N178" s="13"/>
      <c r="O178" s="57"/>
      <c r="P178" s="104"/>
      <c r="Q178" s="529"/>
      <c r="R178" s="95"/>
      <c r="S178" s="95"/>
      <c r="T178" s="57"/>
      <c r="U178" s="105"/>
      <c r="V178" s="529"/>
      <c r="W178" s="95"/>
      <c r="X178" s="13"/>
      <c r="Y178" s="57"/>
      <c r="Z178" s="105"/>
      <c r="AA178" s="529"/>
      <c r="AB178" s="208"/>
      <c r="AC178" s="13"/>
      <c r="AD178" s="57"/>
      <c r="AE178" s="105"/>
      <c r="AF178" s="529"/>
      <c r="AG178" s="198"/>
      <c r="AH178" s="199"/>
      <c r="AI178" s="200"/>
      <c r="AJ178" s="197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</row>
    <row r="179" spans="1:86" s="91" customFormat="1" ht="18" hidden="1" customHeight="1">
      <c r="A179" s="515"/>
      <c r="B179" s="529"/>
      <c r="C179" s="194"/>
      <c r="D179" s="195"/>
      <c r="E179" s="196"/>
      <c r="F179" s="197"/>
      <c r="G179" s="529"/>
      <c r="H179" s="95"/>
      <c r="I179" s="13"/>
      <c r="J179" s="57"/>
      <c r="K179" s="105"/>
      <c r="L179" s="529"/>
      <c r="M179" s="95"/>
      <c r="N179" s="13"/>
      <c r="O179" s="57"/>
      <c r="P179" s="104"/>
      <c r="Q179" s="529"/>
      <c r="R179" s="95"/>
      <c r="S179" s="95"/>
      <c r="T179" s="57"/>
      <c r="U179" s="105"/>
      <c r="V179" s="529"/>
      <c r="W179" s="95"/>
      <c r="X179" s="13"/>
      <c r="Y179" s="57"/>
      <c r="Z179" s="105"/>
      <c r="AA179" s="529"/>
      <c r="AB179" s="208"/>
      <c r="AC179" s="13"/>
      <c r="AD179" s="57"/>
      <c r="AE179" s="105"/>
      <c r="AF179" s="529"/>
      <c r="AG179" s="198"/>
      <c r="AH179" s="199"/>
      <c r="AI179" s="200"/>
      <c r="AJ179" s="197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</row>
    <row r="180" spans="1:86" s="91" customFormat="1" ht="18" hidden="1" customHeight="1">
      <c r="A180" s="515"/>
      <c r="B180" s="529"/>
      <c r="C180" s="194"/>
      <c r="D180" s="195"/>
      <c r="E180" s="196"/>
      <c r="F180" s="197"/>
      <c r="G180" s="529"/>
      <c r="H180" s="95"/>
      <c r="I180" s="13"/>
      <c r="J180" s="57"/>
      <c r="K180" s="105"/>
      <c r="L180" s="529"/>
      <c r="M180" s="95"/>
      <c r="N180" s="13"/>
      <c r="O180" s="57"/>
      <c r="P180" s="104"/>
      <c r="Q180" s="529"/>
      <c r="R180" s="95"/>
      <c r="S180" s="95"/>
      <c r="T180" s="57"/>
      <c r="U180" s="105"/>
      <c r="V180" s="529"/>
      <c r="W180" s="95"/>
      <c r="X180" s="13"/>
      <c r="Y180" s="57"/>
      <c r="Z180" s="105"/>
      <c r="AA180" s="529"/>
      <c r="AB180" s="208"/>
      <c r="AC180" s="13"/>
      <c r="AD180" s="57"/>
      <c r="AE180" s="105"/>
      <c r="AF180" s="529"/>
      <c r="AG180" s="198"/>
      <c r="AH180" s="199"/>
      <c r="AI180" s="200"/>
      <c r="AJ180" s="197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</row>
    <row r="181" spans="1:86" s="91" customFormat="1" ht="18" hidden="1" customHeight="1">
      <c r="A181" s="515"/>
      <c r="B181" s="529"/>
      <c r="C181" s="194"/>
      <c r="D181" s="195"/>
      <c r="E181" s="196"/>
      <c r="F181" s="197"/>
      <c r="G181" s="529"/>
      <c r="H181" s="95"/>
      <c r="I181" s="13"/>
      <c r="J181" s="57"/>
      <c r="K181" s="105"/>
      <c r="L181" s="529"/>
      <c r="M181" s="95"/>
      <c r="N181" s="13"/>
      <c r="O181" s="57"/>
      <c r="P181" s="104"/>
      <c r="Q181" s="529"/>
      <c r="R181" s="95"/>
      <c r="S181" s="95"/>
      <c r="T181" s="57"/>
      <c r="U181" s="105"/>
      <c r="V181" s="529"/>
      <c r="W181" s="95"/>
      <c r="X181" s="13"/>
      <c r="Y181" s="57"/>
      <c r="Z181" s="105"/>
      <c r="AA181" s="529"/>
      <c r="AB181" s="208"/>
      <c r="AC181" s="13"/>
      <c r="AD181" s="57"/>
      <c r="AE181" s="105"/>
      <c r="AF181" s="529"/>
      <c r="AG181" s="198"/>
      <c r="AH181" s="199"/>
      <c r="AI181" s="200"/>
      <c r="AJ181" s="197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</row>
    <row r="182" spans="1:86" s="91" customFormat="1" ht="18" hidden="1" customHeight="1">
      <c r="A182" s="515"/>
      <c r="B182" s="529"/>
      <c r="C182" s="194"/>
      <c r="D182" s="195"/>
      <c r="E182" s="196"/>
      <c r="F182" s="197"/>
      <c r="G182" s="529"/>
      <c r="H182" s="95"/>
      <c r="I182" s="13"/>
      <c r="J182" s="57"/>
      <c r="K182" s="105"/>
      <c r="L182" s="529"/>
      <c r="M182" s="95"/>
      <c r="N182" s="13"/>
      <c r="O182" s="57"/>
      <c r="P182" s="104"/>
      <c r="Q182" s="529"/>
      <c r="R182" s="95"/>
      <c r="S182" s="95"/>
      <c r="T182" s="57"/>
      <c r="U182" s="105"/>
      <c r="V182" s="529"/>
      <c r="W182" s="95"/>
      <c r="X182" s="13"/>
      <c r="Y182" s="57"/>
      <c r="Z182" s="105"/>
      <c r="AA182" s="529"/>
      <c r="AB182" s="208"/>
      <c r="AC182" s="13"/>
      <c r="AD182" s="57"/>
      <c r="AE182" s="105"/>
      <c r="AF182" s="529"/>
      <c r="AG182" s="198"/>
      <c r="AH182" s="199"/>
      <c r="AI182" s="200"/>
      <c r="AJ182" s="197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</row>
    <row r="183" spans="1:86" s="91" customFormat="1" ht="18" hidden="1" customHeight="1">
      <c r="A183" s="593"/>
      <c r="B183" s="530"/>
      <c r="C183" s="201"/>
      <c r="D183" s="202"/>
      <c r="E183" s="203"/>
      <c r="F183" s="204"/>
      <c r="G183" s="530"/>
      <c r="H183" s="95"/>
      <c r="I183" s="13"/>
      <c r="J183" s="57"/>
      <c r="K183" s="107"/>
      <c r="L183" s="530"/>
      <c r="M183" s="95"/>
      <c r="N183" s="13"/>
      <c r="O183" s="57"/>
      <c r="P183" s="106"/>
      <c r="Q183" s="530"/>
      <c r="R183" s="95"/>
      <c r="S183" s="95"/>
      <c r="T183" s="57"/>
      <c r="U183" s="107"/>
      <c r="V183" s="530"/>
      <c r="W183" s="95"/>
      <c r="X183" s="13"/>
      <c r="Y183" s="57"/>
      <c r="Z183" s="107"/>
      <c r="AA183" s="530"/>
      <c r="AB183" s="208"/>
      <c r="AC183" s="13"/>
      <c r="AD183" s="57"/>
      <c r="AE183" s="105"/>
      <c r="AF183" s="530"/>
      <c r="AG183" s="205"/>
      <c r="AH183" s="206"/>
      <c r="AI183" s="207"/>
      <c r="AJ183" s="204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</row>
    <row r="184" spans="1:86" s="91" customFormat="1" ht="18" customHeight="1">
      <c r="A184" s="613" t="s">
        <v>34</v>
      </c>
      <c r="B184" s="528"/>
      <c r="C184" s="187"/>
      <c r="D184" s="188"/>
      <c r="E184" s="189"/>
      <c r="F184" s="213"/>
      <c r="G184" s="616"/>
      <c r="H184" s="93"/>
      <c r="I184" s="9"/>
      <c r="J184" s="56"/>
      <c r="K184" s="34" t="s">
        <v>5</v>
      </c>
      <c r="L184" s="616" t="s">
        <v>86</v>
      </c>
      <c r="M184" s="93" t="s">
        <v>87</v>
      </c>
      <c r="N184" s="9"/>
      <c r="O184" s="56">
        <f>ROUND(65*O$2/1000,0)</f>
        <v>122</v>
      </c>
      <c r="P184" s="34" t="s">
        <v>5</v>
      </c>
      <c r="Q184" s="616" t="s">
        <v>86</v>
      </c>
      <c r="R184" s="93" t="s">
        <v>87</v>
      </c>
      <c r="S184" s="9"/>
      <c r="T184" s="56">
        <f>ROUND(65*T$2/1000,0)</f>
        <v>124</v>
      </c>
      <c r="U184" s="34" t="s">
        <v>5</v>
      </c>
      <c r="V184" s="616" t="s">
        <v>86</v>
      </c>
      <c r="W184" s="93" t="s">
        <v>87</v>
      </c>
      <c r="X184" s="9"/>
      <c r="Y184" s="56">
        <f>ROUND(65*Y$2/1000,0)</f>
        <v>124</v>
      </c>
      <c r="Z184" s="34" t="s">
        <v>5</v>
      </c>
      <c r="AA184" s="616" t="s">
        <v>86</v>
      </c>
      <c r="AB184" s="93" t="s">
        <v>87</v>
      </c>
      <c r="AC184" s="9"/>
      <c r="AD184" s="56">
        <f>ROUND(65*AD$2/1000,0)</f>
        <v>122</v>
      </c>
      <c r="AE184" s="34" t="s">
        <v>5</v>
      </c>
      <c r="AF184" s="528" t="s">
        <v>86</v>
      </c>
      <c r="AG184" s="191" t="s">
        <v>87</v>
      </c>
      <c r="AH184" s="192"/>
      <c r="AI184" s="193">
        <f>ROUND(70*AI$2/1000,0)</f>
        <v>0</v>
      </c>
      <c r="AJ184" s="213" t="s">
        <v>5</v>
      </c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</row>
    <row r="185" spans="1:86" s="91" customFormat="1" ht="18" customHeight="1">
      <c r="A185" s="614"/>
      <c r="B185" s="529"/>
      <c r="C185" s="194"/>
      <c r="D185" s="195"/>
      <c r="E185" s="196"/>
      <c r="F185" s="214"/>
      <c r="G185" s="617"/>
      <c r="H185" s="97"/>
      <c r="I185" s="13"/>
      <c r="J185" s="57"/>
      <c r="K185" s="58" t="s">
        <v>5</v>
      </c>
      <c r="L185" s="617"/>
      <c r="M185" s="97" t="s">
        <v>112</v>
      </c>
      <c r="N185" s="13" t="s">
        <v>113</v>
      </c>
      <c r="O185" s="57">
        <v>2</v>
      </c>
      <c r="P185" s="58" t="s">
        <v>5</v>
      </c>
      <c r="Q185" s="617"/>
      <c r="R185" s="97" t="s">
        <v>112</v>
      </c>
      <c r="S185" s="13" t="s">
        <v>113</v>
      </c>
      <c r="T185" s="57">
        <v>2</v>
      </c>
      <c r="U185" s="58" t="s">
        <v>5</v>
      </c>
      <c r="V185" s="617"/>
      <c r="W185" s="97" t="s">
        <v>112</v>
      </c>
      <c r="X185" s="13" t="s">
        <v>113</v>
      </c>
      <c r="Y185" s="57">
        <v>2</v>
      </c>
      <c r="Z185" s="58" t="s">
        <v>5</v>
      </c>
      <c r="AA185" s="617"/>
      <c r="AB185" s="97" t="s">
        <v>112</v>
      </c>
      <c r="AC185" s="13" t="s">
        <v>113</v>
      </c>
      <c r="AD185" s="57">
        <v>2</v>
      </c>
      <c r="AE185" s="58" t="s">
        <v>5</v>
      </c>
      <c r="AF185" s="529"/>
      <c r="AG185" s="198" t="s">
        <v>2</v>
      </c>
      <c r="AH185" s="199"/>
      <c r="AI185" s="200">
        <v>2</v>
      </c>
      <c r="AJ185" s="214" t="s">
        <v>104</v>
      </c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</row>
    <row r="186" spans="1:86" s="91" customFormat="1" ht="18" customHeight="1">
      <c r="A186" s="614"/>
      <c r="B186" s="529"/>
      <c r="C186" s="194"/>
      <c r="D186" s="195"/>
      <c r="E186" s="196"/>
      <c r="F186" s="214"/>
      <c r="G186" s="617"/>
      <c r="H186" s="97"/>
      <c r="I186" s="13"/>
      <c r="J186" s="57"/>
      <c r="K186" s="58" t="s">
        <v>5</v>
      </c>
      <c r="L186" s="617"/>
      <c r="M186" s="97" t="s">
        <v>93</v>
      </c>
      <c r="N186" s="13"/>
      <c r="O186" s="57">
        <v>5</v>
      </c>
      <c r="P186" s="58" t="s">
        <v>5</v>
      </c>
      <c r="Q186" s="617"/>
      <c r="R186" s="97" t="s">
        <v>93</v>
      </c>
      <c r="S186" s="13"/>
      <c r="T186" s="57">
        <v>5</v>
      </c>
      <c r="U186" s="58" t="s">
        <v>5</v>
      </c>
      <c r="V186" s="617"/>
      <c r="W186" s="97" t="s">
        <v>93</v>
      </c>
      <c r="X186" s="13"/>
      <c r="Y186" s="57">
        <v>5</v>
      </c>
      <c r="Z186" s="58" t="s">
        <v>5</v>
      </c>
      <c r="AA186" s="617"/>
      <c r="AB186" s="97" t="s">
        <v>93</v>
      </c>
      <c r="AC186" s="13"/>
      <c r="AD186" s="57">
        <v>5</v>
      </c>
      <c r="AE186" s="58" t="s">
        <v>5</v>
      </c>
      <c r="AF186" s="529"/>
      <c r="AG186" s="198" t="s">
        <v>110</v>
      </c>
      <c r="AH186" s="199"/>
      <c r="AI186" s="200">
        <v>5</v>
      </c>
      <c r="AJ186" s="214" t="s">
        <v>104</v>
      </c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</row>
    <row r="187" spans="1:86" s="91" customFormat="1" ht="18" customHeight="1">
      <c r="A187" s="614"/>
      <c r="B187" s="529"/>
      <c r="C187" s="194"/>
      <c r="D187" s="195"/>
      <c r="E187" s="196"/>
      <c r="F187" s="214"/>
      <c r="G187" s="617"/>
      <c r="H187" s="97"/>
      <c r="I187" s="13"/>
      <c r="J187" s="57"/>
      <c r="K187" s="58" t="s">
        <v>5</v>
      </c>
      <c r="L187" s="617"/>
      <c r="M187" s="97" t="s">
        <v>114</v>
      </c>
      <c r="N187" s="13" t="s">
        <v>115</v>
      </c>
      <c r="O187" s="57">
        <v>3</v>
      </c>
      <c r="P187" s="58" t="s">
        <v>5</v>
      </c>
      <c r="Q187" s="617"/>
      <c r="R187" s="97" t="s">
        <v>114</v>
      </c>
      <c r="S187" s="13" t="s">
        <v>115</v>
      </c>
      <c r="T187" s="57">
        <v>3</v>
      </c>
      <c r="U187" s="58" t="s">
        <v>5</v>
      </c>
      <c r="V187" s="617"/>
      <c r="W187" s="97" t="s">
        <v>114</v>
      </c>
      <c r="X187" s="13" t="s">
        <v>115</v>
      </c>
      <c r="Y187" s="57">
        <v>3</v>
      </c>
      <c r="Z187" s="58" t="s">
        <v>5</v>
      </c>
      <c r="AA187" s="617"/>
      <c r="AB187" s="97" t="s">
        <v>114</v>
      </c>
      <c r="AC187" s="13" t="s">
        <v>115</v>
      </c>
      <c r="AD187" s="57">
        <v>3</v>
      </c>
      <c r="AE187" s="58" t="s">
        <v>5</v>
      </c>
      <c r="AF187" s="529"/>
      <c r="AG187" s="198"/>
      <c r="AH187" s="199"/>
      <c r="AI187" s="200"/>
      <c r="AJ187" s="214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</row>
    <row r="188" spans="1:86" s="91" customFormat="1" ht="17.25" customHeight="1">
      <c r="A188" s="614"/>
      <c r="B188" s="529"/>
      <c r="C188" s="194"/>
      <c r="D188" s="195"/>
      <c r="E188" s="196"/>
      <c r="F188" s="214"/>
      <c r="G188" s="617"/>
      <c r="H188" s="97"/>
      <c r="I188" s="13"/>
      <c r="J188" s="57"/>
      <c r="K188" s="58"/>
      <c r="L188" s="617"/>
      <c r="M188" s="97"/>
      <c r="N188" s="13"/>
      <c r="O188" s="57"/>
      <c r="P188" s="58"/>
      <c r="Q188" s="617"/>
      <c r="R188" s="97"/>
      <c r="S188" s="13"/>
      <c r="T188" s="57"/>
      <c r="U188" s="58"/>
      <c r="V188" s="617"/>
      <c r="W188" s="97"/>
      <c r="X188" s="13"/>
      <c r="Y188" s="57"/>
      <c r="Z188" s="58"/>
      <c r="AA188" s="617"/>
      <c r="AB188" s="97"/>
      <c r="AC188" s="13"/>
      <c r="AD188" s="57"/>
      <c r="AE188" s="58"/>
      <c r="AF188" s="529"/>
      <c r="AG188" s="198"/>
      <c r="AH188" s="199"/>
      <c r="AI188" s="200"/>
      <c r="AJ188" s="214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</row>
    <row r="189" spans="1:86" s="91" customFormat="1" ht="18" customHeight="1">
      <c r="A189" s="614"/>
      <c r="B189" s="529"/>
      <c r="C189" s="194"/>
      <c r="D189" s="195"/>
      <c r="E189" s="196"/>
      <c r="F189" s="197"/>
      <c r="G189" s="617"/>
      <c r="H189" s="97"/>
      <c r="I189" s="13"/>
      <c r="J189" s="57"/>
      <c r="K189" s="58"/>
      <c r="L189" s="617"/>
      <c r="M189" s="97"/>
      <c r="N189" s="13"/>
      <c r="O189" s="57"/>
      <c r="P189" s="58"/>
      <c r="Q189" s="617"/>
      <c r="R189" s="97"/>
      <c r="S189" s="13"/>
      <c r="T189" s="57"/>
      <c r="U189" s="58"/>
      <c r="V189" s="617"/>
      <c r="W189" s="97"/>
      <c r="X189" s="13"/>
      <c r="Y189" s="57"/>
      <c r="Z189" s="58"/>
      <c r="AA189" s="617"/>
      <c r="AB189" s="97"/>
      <c r="AC189" s="13"/>
      <c r="AD189" s="57"/>
      <c r="AE189" s="58"/>
      <c r="AF189" s="529"/>
      <c r="AG189" s="198"/>
      <c r="AH189" s="199"/>
      <c r="AI189" s="200"/>
      <c r="AJ189" s="197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</row>
    <row r="190" spans="1:86" s="91" customFormat="1" ht="18" customHeight="1">
      <c r="A190" s="614"/>
      <c r="B190" s="529"/>
      <c r="C190" s="194"/>
      <c r="D190" s="195"/>
      <c r="E190" s="196"/>
      <c r="F190" s="197"/>
      <c r="G190" s="617"/>
      <c r="H190" s="97"/>
      <c r="I190" s="13"/>
      <c r="J190" s="57"/>
      <c r="K190" s="58"/>
      <c r="L190" s="617"/>
      <c r="M190" s="97"/>
      <c r="N190" s="13"/>
      <c r="O190" s="57"/>
      <c r="P190" s="58"/>
      <c r="Q190" s="617"/>
      <c r="R190" s="97"/>
      <c r="S190" s="13"/>
      <c r="T190" s="57"/>
      <c r="U190" s="58"/>
      <c r="V190" s="617"/>
      <c r="W190" s="97"/>
      <c r="X190" s="13"/>
      <c r="Y190" s="57"/>
      <c r="Z190" s="58"/>
      <c r="AA190" s="617"/>
      <c r="AB190" s="97"/>
      <c r="AC190" s="13"/>
      <c r="AD190" s="57"/>
      <c r="AE190" s="58"/>
      <c r="AF190" s="529"/>
      <c r="AG190" s="198"/>
      <c r="AH190" s="199"/>
      <c r="AI190" s="200"/>
      <c r="AJ190" s="197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</row>
    <row r="191" spans="1:86" s="91" customFormat="1" ht="18" customHeight="1" thickBot="1">
      <c r="A191" s="614"/>
      <c r="B191" s="529"/>
      <c r="C191" s="194"/>
      <c r="D191" s="195"/>
      <c r="E191" s="196"/>
      <c r="F191" s="197"/>
      <c r="G191" s="617"/>
      <c r="H191" s="94"/>
      <c r="I191" s="14"/>
      <c r="J191" s="57"/>
      <c r="K191" s="58"/>
      <c r="L191" s="617"/>
      <c r="M191" s="94"/>
      <c r="N191" s="14"/>
      <c r="O191" s="57"/>
      <c r="P191" s="58"/>
      <c r="Q191" s="617"/>
      <c r="R191" s="94"/>
      <c r="S191" s="14"/>
      <c r="T191" s="57"/>
      <c r="U191" s="58"/>
      <c r="V191" s="617"/>
      <c r="W191" s="94"/>
      <c r="X191" s="14"/>
      <c r="Y191" s="57"/>
      <c r="Z191" s="58"/>
      <c r="AA191" s="617"/>
      <c r="AB191" s="94"/>
      <c r="AC191" s="14"/>
      <c r="AD191" s="57"/>
      <c r="AE191" s="58"/>
      <c r="AF191" s="529"/>
      <c r="AG191" s="198"/>
      <c r="AH191" s="199"/>
      <c r="AI191" s="200"/>
      <c r="AJ191" s="197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</row>
    <row r="192" spans="1:86" s="91" customFormat="1" ht="18" hidden="1" customHeight="1" thickBot="1">
      <c r="A192" s="614"/>
      <c r="B192" s="529"/>
      <c r="C192" s="194"/>
      <c r="D192" s="195"/>
      <c r="E192" s="196"/>
      <c r="F192" s="197"/>
      <c r="G192" s="617"/>
      <c r="H192" s="112"/>
      <c r="I192" s="109"/>
      <c r="J192" s="111"/>
      <c r="K192" s="58" t="s">
        <v>5</v>
      </c>
      <c r="L192" s="617"/>
      <c r="M192" s="112"/>
      <c r="N192" s="109"/>
      <c r="O192" s="111"/>
      <c r="P192" s="58" t="s">
        <v>5</v>
      </c>
      <c r="Q192" s="617"/>
      <c r="R192" s="112"/>
      <c r="S192" s="109"/>
      <c r="T192" s="111"/>
      <c r="U192" s="58" t="s">
        <v>5</v>
      </c>
      <c r="V192" s="617"/>
      <c r="W192" s="112"/>
      <c r="X192" s="109"/>
      <c r="Y192" s="111"/>
      <c r="Z192" s="58" t="s">
        <v>5</v>
      </c>
      <c r="AA192" s="617"/>
      <c r="AB192" s="112"/>
      <c r="AC192" s="109"/>
      <c r="AD192" s="111"/>
      <c r="AE192" s="58" t="s">
        <v>5</v>
      </c>
      <c r="AF192" s="529"/>
      <c r="AG192" s="198"/>
      <c r="AH192" s="199"/>
      <c r="AI192" s="200"/>
      <c r="AJ192" s="197" t="s">
        <v>5</v>
      </c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</row>
    <row r="193" spans="1:86" s="91" customFormat="1" ht="18" hidden="1" customHeight="1">
      <c r="A193" s="614"/>
      <c r="B193" s="529"/>
      <c r="C193" s="194"/>
      <c r="D193" s="195"/>
      <c r="E193" s="196"/>
      <c r="F193" s="197"/>
      <c r="G193" s="617"/>
      <c r="H193" s="112"/>
      <c r="I193" s="109"/>
      <c r="J193" s="111"/>
      <c r="K193" s="58"/>
      <c r="L193" s="617"/>
      <c r="M193" s="112"/>
      <c r="N193" s="109"/>
      <c r="O193" s="111"/>
      <c r="P193" s="58"/>
      <c r="Q193" s="617"/>
      <c r="R193" s="112"/>
      <c r="S193" s="109"/>
      <c r="T193" s="111"/>
      <c r="U193" s="58"/>
      <c r="V193" s="617"/>
      <c r="W193" s="112"/>
      <c r="X193" s="109"/>
      <c r="Y193" s="111"/>
      <c r="Z193" s="58"/>
      <c r="AA193" s="617"/>
      <c r="AB193" s="112"/>
      <c r="AC193" s="109"/>
      <c r="AD193" s="111"/>
      <c r="AE193" s="58"/>
      <c r="AF193" s="529"/>
      <c r="AG193" s="198"/>
      <c r="AH193" s="199"/>
      <c r="AI193" s="200"/>
      <c r="AJ193" s="197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</row>
    <row r="194" spans="1:86" s="91" customFormat="1" ht="18" hidden="1" customHeight="1">
      <c r="A194" s="614"/>
      <c r="B194" s="529"/>
      <c r="C194" s="194"/>
      <c r="D194" s="195"/>
      <c r="E194" s="196"/>
      <c r="F194" s="197"/>
      <c r="G194" s="617"/>
      <c r="H194" s="112"/>
      <c r="I194" s="109"/>
      <c r="J194" s="111"/>
      <c r="K194" s="58"/>
      <c r="L194" s="617"/>
      <c r="M194" s="112"/>
      <c r="N194" s="109"/>
      <c r="O194" s="111"/>
      <c r="P194" s="58"/>
      <c r="Q194" s="617"/>
      <c r="R194" s="112"/>
      <c r="S194" s="109"/>
      <c r="T194" s="111"/>
      <c r="U194" s="58"/>
      <c r="V194" s="617"/>
      <c r="W194" s="112"/>
      <c r="X194" s="109"/>
      <c r="Y194" s="111"/>
      <c r="Z194" s="58"/>
      <c r="AA194" s="617"/>
      <c r="AB194" s="112"/>
      <c r="AC194" s="109"/>
      <c r="AD194" s="111"/>
      <c r="AE194" s="58"/>
      <c r="AF194" s="529"/>
      <c r="AG194" s="198"/>
      <c r="AH194" s="199"/>
      <c r="AI194" s="200"/>
      <c r="AJ194" s="197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</row>
    <row r="195" spans="1:86" s="91" customFormat="1" ht="18" hidden="1" customHeight="1">
      <c r="A195" s="614"/>
      <c r="B195" s="529"/>
      <c r="C195" s="194"/>
      <c r="D195" s="195"/>
      <c r="E195" s="196"/>
      <c r="F195" s="197"/>
      <c r="G195" s="617"/>
      <c r="H195" s="112"/>
      <c r="I195" s="109"/>
      <c r="J195" s="111"/>
      <c r="K195" s="58"/>
      <c r="L195" s="617"/>
      <c r="M195" s="112"/>
      <c r="N195" s="109"/>
      <c r="O195" s="111"/>
      <c r="P195" s="58"/>
      <c r="Q195" s="617"/>
      <c r="R195" s="112"/>
      <c r="S195" s="109"/>
      <c r="T195" s="111"/>
      <c r="U195" s="58"/>
      <c r="V195" s="617"/>
      <c r="W195" s="112"/>
      <c r="X195" s="109"/>
      <c r="Y195" s="111"/>
      <c r="Z195" s="58"/>
      <c r="AA195" s="617"/>
      <c r="AB195" s="112"/>
      <c r="AC195" s="109"/>
      <c r="AD195" s="111"/>
      <c r="AE195" s="58"/>
      <c r="AF195" s="529"/>
      <c r="AG195" s="198"/>
      <c r="AH195" s="199"/>
      <c r="AI195" s="200"/>
      <c r="AJ195" s="197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</row>
    <row r="196" spans="1:86" s="91" customFormat="1" ht="18" hidden="1" customHeight="1">
      <c r="A196" s="614"/>
      <c r="B196" s="529"/>
      <c r="C196" s="194"/>
      <c r="D196" s="195"/>
      <c r="E196" s="196"/>
      <c r="F196" s="197"/>
      <c r="G196" s="617"/>
      <c r="H196" s="112"/>
      <c r="I196" s="109"/>
      <c r="J196" s="111"/>
      <c r="K196" s="58"/>
      <c r="L196" s="617"/>
      <c r="M196" s="112"/>
      <c r="N196" s="109"/>
      <c r="O196" s="111"/>
      <c r="P196" s="58"/>
      <c r="Q196" s="617"/>
      <c r="R196" s="112"/>
      <c r="S196" s="109"/>
      <c r="T196" s="111"/>
      <c r="U196" s="58"/>
      <c r="V196" s="617"/>
      <c r="W196" s="112"/>
      <c r="X196" s="109"/>
      <c r="Y196" s="111"/>
      <c r="Z196" s="58"/>
      <c r="AA196" s="617"/>
      <c r="AB196" s="112"/>
      <c r="AC196" s="109"/>
      <c r="AD196" s="111"/>
      <c r="AE196" s="58"/>
      <c r="AF196" s="529"/>
      <c r="AG196" s="198"/>
      <c r="AH196" s="199"/>
      <c r="AI196" s="200"/>
      <c r="AJ196" s="197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</row>
    <row r="197" spans="1:86" s="91" customFormat="1" ht="18" hidden="1" customHeight="1">
      <c r="A197" s="614"/>
      <c r="B197" s="529"/>
      <c r="C197" s="194"/>
      <c r="D197" s="195"/>
      <c r="E197" s="196"/>
      <c r="F197" s="197"/>
      <c r="G197" s="617"/>
      <c r="H197" s="112"/>
      <c r="I197" s="109"/>
      <c r="J197" s="111"/>
      <c r="K197" s="58"/>
      <c r="L197" s="617"/>
      <c r="M197" s="112"/>
      <c r="N197" s="109"/>
      <c r="O197" s="111"/>
      <c r="P197" s="58"/>
      <c r="Q197" s="617"/>
      <c r="R197" s="112"/>
      <c r="S197" s="109"/>
      <c r="T197" s="111"/>
      <c r="U197" s="58"/>
      <c r="V197" s="617"/>
      <c r="W197" s="112"/>
      <c r="X197" s="109"/>
      <c r="Y197" s="111"/>
      <c r="Z197" s="58"/>
      <c r="AA197" s="617"/>
      <c r="AB197" s="112"/>
      <c r="AC197" s="109"/>
      <c r="AD197" s="111"/>
      <c r="AE197" s="58"/>
      <c r="AF197" s="529"/>
      <c r="AG197" s="198"/>
      <c r="AH197" s="199"/>
      <c r="AI197" s="200"/>
      <c r="AJ197" s="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</row>
    <row r="198" spans="1:86" s="91" customFormat="1" ht="18" hidden="1" customHeight="1">
      <c r="A198" s="615"/>
      <c r="B198" s="530"/>
      <c r="C198" s="201"/>
      <c r="D198" s="202"/>
      <c r="E198" s="203"/>
      <c r="F198" s="204"/>
      <c r="G198" s="618"/>
      <c r="H198" s="112"/>
      <c r="I198" s="109"/>
      <c r="J198" s="111"/>
      <c r="K198" s="58"/>
      <c r="L198" s="618"/>
      <c r="M198" s="112"/>
      <c r="N198" s="109"/>
      <c r="O198" s="111"/>
      <c r="P198" s="58"/>
      <c r="Q198" s="618"/>
      <c r="R198" s="112"/>
      <c r="S198" s="109"/>
      <c r="T198" s="111"/>
      <c r="U198" s="58"/>
      <c r="V198" s="618"/>
      <c r="W198" s="112"/>
      <c r="X198" s="109"/>
      <c r="Y198" s="111"/>
      <c r="Z198" s="58"/>
      <c r="AA198" s="618"/>
      <c r="AB198" s="112"/>
      <c r="AC198" s="109"/>
      <c r="AD198" s="111"/>
      <c r="AE198" s="58"/>
      <c r="AF198" s="530"/>
      <c r="AG198" s="205"/>
      <c r="AH198" s="206"/>
      <c r="AI198" s="207"/>
      <c r="AJ198" s="204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</row>
    <row r="199" spans="1:86" s="91" customFormat="1" ht="18" customHeight="1">
      <c r="A199" s="613" t="s">
        <v>58</v>
      </c>
      <c r="B199" s="528"/>
      <c r="C199" s="187"/>
      <c r="D199" s="188"/>
      <c r="E199" s="189"/>
      <c r="F199" s="190"/>
      <c r="G199" s="567"/>
      <c r="H199" s="11"/>
      <c r="I199" s="9"/>
      <c r="J199" s="253"/>
      <c r="K199" s="223" t="s">
        <v>0</v>
      </c>
      <c r="L199" s="567" t="s">
        <v>212</v>
      </c>
      <c r="M199" s="320" t="s">
        <v>120</v>
      </c>
      <c r="N199" s="9"/>
      <c r="O199" s="470">
        <f>ROUND(18*O$267/1000,0)</f>
        <v>23</v>
      </c>
      <c r="P199" s="223" t="s">
        <v>0</v>
      </c>
      <c r="Q199" s="567" t="s">
        <v>213</v>
      </c>
      <c r="R199" s="320" t="s">
        <v>83</v>
      </c>
      <c r="S199" s="9"/>
      <c r="T199" s="253">
        <f>ROUND(15*T$267/1000,0)</f>
        <v>18</v>
      </c>
      <c r="U199" s="223" t="s">
        <v>0</v>
      </c>
      <c r="V199" s="639" t="s">
        <v>214</v>
      </c>
      <c r="W199" s="320" t="s">
        <v>191</v>
      </c>
      <c r="X199" s="9" t="s">
        <v>97</v>
      </c>
      <c r="Y199" s="253">
        <v>1</v>
      </c>
      <c r="Z199" s="223" t="s">
        <v>0</v>
      </c>
      <c r="AA199" s="567" t="s">
        <v>215</v>
      </c>
      <c r="AB199" s="93" t="s">
        <v>142</v>
      </c>
      <c r="AC199" s="9"/>
      <c r="AD199" s="253">
        <f>ROUND(13*AD$267/1000,0)</f>
        <v>16</v>
      </c>
      <c r="AE199" s="223" t="s">
        <v>0</v>
      </c>
      <c r="AF199" s="616"/>
      <c r="AG199" s="11"/>
      <c r="AH199" s="9"/>
      <c r="AI199" s="56"/>
      <c r="AJ199" s="34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</row>
    <row r="200" spans="1:86" s="91" customFormat="1" ht="18" customHeight="1">
      <c r="A200" s="614"/>
      <c r="B200" s="529"/>
      <c r="C200" s="194"/>
      <c r="D200" s="195"/>
      <c r="E200" s="196"/>
      <c r="F200" s="197"/>
      <c r="G200" s="568"/>
      <c r="H200" s="12"/>
      <c r="I200" s="13"/>
      <c r="J200" s="254"/>
      <c r="K200" s="255" t="s">
        <v>0</v>
      </c>
      <c r="L200" s="568"/>
      <c r="M200" s="321" t="s">
        <v>6</v>
      </c>
      <c r="N200" s="13"/>
      <c r="O200" s="254">
        <f>ROUND(10*O$267/1000,0)</f>
        <v>13</v>
      </c>
      <c r="P200" s="255" t="s">
        <v>0</v>
      </c>
      <c r="Q200" s="568"/>
      <c r="R200" s="321" t="s">
        <v>286</v>
      </c>
      <c r="S200" s="13"/>
      <c r="T200" s="254">
        <f>MROUND(8*T$267/1000,3)</f>
        <v>9</v>
      </c>
      <c r="U200" s="255" t="s">
        <v>0</v>
      </c>
      <c r="V200" s="640"/>
      <c r="W200" s="373" t="s">
        <v>396</v>
      </c>
      <c r="X200" s="13" t="s">
        <v>149</v>
      </c>
      <c r="Y200" s="254">
        <f>ROUND(40*Y$267/1000,0)</f>
        <v>51</v>
      </c>
      <c r="Z200" s="255" t="s">
        <v>0</v>
      </c>
      <c r="AA200" s="568"/>
      <c r="AB200" s="97" t="s">
        <v>138</v>
      </c>
      <c r="AC200" s="13"/>
      <c r="AD200" s="254">
        <f>ROUND(30*AD$267/1000,0)</f>
        <v>36</v>
      </c>
      <c r="AE200" s="255" t="s">
        <v>0</v>
      </c>
      <c r="AF200" s="617"/>
      <c r="AG200" s="12"/>
      <c r="AH200" s="13"/>
      <c r="AI200" s="57"/>
      <c r="AJ200" s="58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</row>
    <row r="201" spans="1:86" s="91" customFormat="1" ht="18" customHeight="1">
      <c r="A201" s="614"/>
      <c r="B201" s="529"/>
      <c r="C201" s="194"/>
      <c r="D201" s="195"/>
      <c r="E201" s="196"/>
      <c r="F201" s="197"/>
      <c r="G201" s="568"/>
      <c r="H201" s="12"/>
      <c r="I201" s="13"/>
      <c r="J201" s="254"/>
      <c r="K201" s="255" t="s">
        <v>0</v>
      </c>
      <c r="L201" s="568"/>
      <c r="M201" s="413" t="s">
        <v>109</v>
      </c>
      <c r="N201" s="13"/>
      <c r="O201" s="471">
        <f>MROUND(15*O$2/1000,3)</f>
        <v>27</v>
      </c>
      <c r="P201" s="255" t="s">
        <v>0</v>
      </c>
      <c r="Q201" s="568"/>
      <c r="R201" s="321" t="s">
        <v>122</v>
      </c>
      <c r="S201" s="13"/>
      <c r="T201" s="254">
        <f>ROUND(10*T$267/1000,0)</f>
        <v>12</v>
      </c>
      <c r="U201" s="255" t="s">
        <v>0</v>
      </c>
      <c r="V201" s="640"/>
      <c r="W201" s="472" t="s">
        <v>133</v>
      </c>
      <c r="X201" s="13"/>
      <c r="Y201" s="254">
        <v>9</v>
      </c>
      <c r="Z201" s="255" t="s">
        <v>0</v>
      </c>
      <c r="AA201" s="568"/>
      <c r="AB201" s="472" t="s">
        <v>133</v>
      </c>
      <c r="AC201" s="13"/>
      <c r="AD201" s="254">
        <v>9</v>
      </c>
      <c r="AE201" s="255" t="s">
        <v>0</v>
      </c>
      <c r="AF201" s="617"/>
      <c r="AG201" s="12"/>
      <c r="AH201" s="13"/>
      <c r="AI201" s="57"/>
      <c r="AJ201" s="58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</row>
    <row r="202" spans="1:86" s="91" customFormat="1" ht="18" customHeight="1">
      <c r="A202" s="614"/>
      <c r="B202" s="529"/>
      <c r="C202" s="194"/>
      <c r="D202" s="195"/>
      <c r="E202" s="196"/>
      <c r="F202" s="197"/>
      <c r="G202" s="568"/>
      <c r="H202" s="12"/>
      <c r="I202" s="13"/>
      <c r="J202" s="254"/>
      <c r="K202" s="255" t="s">
        <v>0</v>
      </c>
      <c r="L202" s="568"/>
      <c r="M202" s="321"/>
      <c r="N202" s="13"/>
      <c r="O202" s="254"/>
      <c r="P202" s="255" t="s">
        <v>0</v>
      </c>
      <c r="Q202" s="568"/>
      <c r="R202" s="321" t="s">
        <v>287</v>
      </c>
      <c r="S202" s="13"/>
      <c r="T202" s="254">
        <v>2</v>
      </c>
      <c r="U202" s="255" t="s">
        <v>0</v>
      </c>
      <c r="V202" s="640"/>
      <c r="W202" s="321"/>
      <c r="X202" s="13"/>
      <c r="Y202" s="254"/>
      <c r="Z202" s="255" t="s">
        <v>0</v>
      </c>
      <c r="AA202" s="568"/>
      <c r="AB202" s="97"/>
      <c r="AC202" s="352"/>
      <c r="AD202" s="254"/>
      <c r="AE202" s="255" t="s">
        <v>0</v>
      </c>
      <c r="AF202" s="617"/>
      <c r="AG202" s="12"/>
      <c r="AH202" s="13"/>
      <c r="AI202" s="57"/>
      <c r="AJ202" s="58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</row>
    <row r="203" spans="1:86" s="91" customFormat="1" ht="18" customHeight="1">
      <c r="A203" s="614"/>
      <c r="B203" s="529"/>
      <c r="C203" s="194"/>
      <c r="D203" s="195"/>
      <c r="E203" s="196"/>
      <c r="F203" s="197"/>
      <c r="G203" s="568"/>
      <c r="H203" s="12"/>
      <c r="I203" s="13"/>
      <c r="J203" s="254"/>
      <c r="K203" s="255" t="s">
        <v>0</v>
      </c>
      <c r="L203" s="568"/>
      <c r="M203" s="321"/>
      <c r="N203" s="13"/>
      <c r="O203" s="254"/>
      <c r="P203" s="255" t="s">
        <v>0</v>
      </c>
      <c r="Q203" s="568"/>
      <c r="R203" s="321"/>
      <c r="S203" s="13"/>
      <c r="T203" s="254"/>
      <c r="U203" s="255" t="s">
        <v>0</v>
      </c>
      <c r="V203" s="640"/>
      <c r="W203" s="321"/>
      <c r="X203" s="13"/>
      <c r="Y203" s="254"/>
      <c r="Z203" s="255" t="s">
        <v>0</v>
      </c>
      <c r="AA203" s="568"/>
      <c r="AB203" s="97"/>
      <c r="AC203" s="13"/>
      <c r="AD203" s="254"/>
      <c r="AE203" s="255" t="s">
        <v>0</v>
      </c>
      <c r="AF203" s="617"/>
      <c r="AG203" s="12"/>
      <c r="AH203" s="13"/>
      <c r="AI203" s="57"/>
      <c r="AJ203" s="58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</row>
    <row r="204" spans="1:86" s="91" customFormat="1" ht="18" customHeight="1">
      <c r="A204" s="614"/>
      <c r="B204" s="529"/>
      <c r="C204" s="194"/>
      <c r="D204" s="195"/>
      <c r="E204" s="196"/>
      <c r="F204" s="197"/>
      <c r="G204" s="568"/>
      <c r="H204" s="12"/>
      <c r="I204" s="13"/>
      <c r="J204" s="254"/>
      <c r="K204" s="255" t="s">
        <v>0</v>
      </c>
      <c r="L204" s="568"/>
      <c r="M204" s="321"/>
      <c r="N204" s="13"/>
      <c r="O204" s="254"/>
      <c r="P204" s="255" t="s">
        <v>0</v>
      </c>
      <c r="Q204" s="568"/>
      <c r="R204" s="321"/>
      <c r="S204" s="13"/>
      <c r="T204" s="254"/>
      <c r="U204" s="255" t="s">
        <v>0</v>
      </c>
      <c r="V204" s="640"/>
      <c r="W204" s="321"/>
      <c r="X204" s="13"/>
      <c r="Y204" s="254"/>
      <c r="Z204" s="255" t="s">
        <v>0</v>
      </c>
      <c r="AA204" s="568"/>
      <c r="AB204" s="97"/>
      <c r="AC204" s="13"/>
      <c r="AD204" s="254"/>
      <c r="AE204" s="255" t="s">
        <v>0</v>
      </c>
      <c r="AF204" s="617"/>
      <c r="AG204" s="12"/>
      <c r="AH204" s="13"/>
      <c r="AI204" s="57"/>
      <c r="AJ204" s="58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</row>
    <row r="205" spans="1:86" s="91" customFormat="1" ht="18" customHeight="1">
      <c r="A205" s="614"/>
      <c r="B205" s="529"/>
      <c r="C205" s="194"/>
      <c r="D205" s="195"/>
      <c r="E205" s="196"/>
      <c r="F205" s="197"/>
      <c r="G205" s="568"/>
      <c r="H205" s="12"/>
      <c r="I205" s="13"/>
      <c r="J205" s="254"/>
      <c r="K205" s="255" t="s">
        <v>0</v>
      </c>
      <c r="L205" s="568"/>
      <c r="M205" s="321"/>
      <c r="N205" s="13"/>
      <c r="O205" s="254"/>
      <c r="P205" s="255" t="s">
        <v>0</v>
      </c>
      <c r="Q205" s="568"/>
      <c r="R205" s="321"/>
      <c r="S205" s="13"/>
      <c r="T205" s="254"/>
      <c r="U205" s="255" t="s">
        <v>0</v>
      </c>
      <c r="V205" s="640"/>
      <c r="W205" s="321"/>
      <c r="X205" s="13"/>
      <c r="Y205" s="254"/>
      <c r="Z205" s="255" t="s">
        <v>0</v>
      </c>
      <c r="AA205" s="568"/>
      <c r="AB205" s="97"/>
      <c r="AC205" s="13"/>
      <c r="AD205" s="254"/>
      <c r="AE205" s="255" t="s">
        <v>0</v>
      </c>
      <c r="AF205" s="617"/>
      <c r="AG205" s="12"/>
      <c r="AH205" s="13"/>
      <c r="AI205" s="57"/>
      <c r="AJ205" s="58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</row>
    <row r="206" spans="1:86" s="91" customFormat="1" ht="18" customHeight="1" thickBot="1">
      <c r="A206" s="614"/>
      <c r="B206" s="529"/>
      <c r="C206" s="194"/>
      <c r="D206" s="195"/>
      <c r="E206" s="196"/>
      <c r="F206" s="197"/>
      <c r="G206" s="568"/>
      <c r="H206" s="15"/>
      <c r="I206" s="14"/>
      <c r="J206" s="254"/>
      <c r="K206" s="255" t="s">
        <v>0</v>
      </c>
      <c r="L206" s="568"/>
      <c r="M206" s="322"/>
      <c r="N206" s="14"/>
      <c r="O206" s="254"/>
      <c r="P206" s="255" t="s">
        <v>0</v>
      </c>
      <c r="Q206" s="568"/>
      <c r="R206" s="322"/>
      <c r="S206" s="14"/>
      <c r="T206" s="254"/>
      <c r="U206" s="255" t="s">
        <v>0</v>
      </c>
      <c r="V206" s="640"/>
      <c r="W206" s="322"/>
      <c r="X206" s="14"/>
      <c r="Y206" s="254"/>
      <c r="Z206" s="257" t="s">
        <v>0</v>
      </c>
      <c r="AA206" s="568"/>
      <c r="AB206" s="94"/>
      <c r="AC206" s="14"/>
      <c r="AD206" s="254"/>
      <c r="AE206" s="255" t="s">
        <v>0</v>
      </c>
      <c r="AF206" s="617"/>
      <c r="AG206" s="15"/>
      <c r="AH206" s="14"/>
      <c r="AI206" s="57"/>
      <c r="AJ206" s="58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</row>
    <row r="207" spans="1:86" s="91" customFormat="1" ht="18" hidden="1" customHeight="1" thickBot="1">
      <c r="A207" s="614"/>
      <c r="B207" s="529"/>
      <c r="C207" s="194"/>
      <c r="D207" s="195"/>
      <c r="E207" s="196"/>
      <c r="F207" s="197"/>
      <c r="G207" s="568"/>
      <c r="H207" s="339"/>
      <c r="I207" s="339"/>
      <c r="J207" s="340"/>
      <c r="K207" s="255"/>
      <c r="L207" s="568"/>
      <c r="M207" s="343"/>
      <c r="N207" s="343"/>
      <c r="O207" s="344"/>
      <c r="P207" s="255"/>
      <c r="Q207" s="568"/>
      <c r="R207" s="353"/>
      <c r="S207" s="343"/>
      <c r="T207" s="344"/>
      <c r="U207" s="255"/>
      <c r="V207" s="640"/>
      <c r="W207" s="208"/>
      <c r="X207" s="13"/>
      <c r="Y207" s="342"/>
      <c r="Z207" s="268"/>
      <c r="AA207" s="568"/>
      <c r="AB207" s="354"/>
      <c r="AC207" s="343"/>
      <c r="AD207" s="344"/>
      <c r="AE207" s="255"/>
      <c r="AF207" s="617"/>
      <c r="AG207" s="109"/>
      <c r="AH207" s="109"/>
      <c r="AI207" s="111"/>
      <c r="AJ207" s="58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</row>
    <row r="208" spans="1:86" s="91" customFormat="1" ht="18" hidden="1" customHeight="1">
      <c r="A208" s="614"/>
      <c r="B208" s="529"/>
      <c r="C208" s="194"/>
      <c r="D208" s="195"/>
      <c r="E208" s="196"/>
      <c r="F208" s="197"/>
      <c r="G208" s="568"/>
      <c r="H208" s="339"/>
      <c r="I208" s="339"/>
      <c r="J208" s="340"/>
      <c r="K208" s="255"/>
      <c r="L208" s="568"/>
      <c r="M208" s="343"/>
      <c r="N208" s="343"/>
      <c r="O208" s="344"/>
      <c r="P208" s="255"/>
      <c r="Q208" s="568"/>
      <c r="R208" s="353"/>
      <c r="S208" s="343"/>
      <c r="T208" s="344"/>
      <c r="U208" s="255"/>
      <c r="V208" s="640"/>
      <c r="W208" s="208"/>
      <c r="X208" s="13"/>
      <c r="Y208" s="342"/>
      <c r="Z208" s="268"/>
      <c r="AA208" s="568"/>
      <c r="AB208" s="354"/>
      <c r="AC208" s="343"/>
      <c r="AD208" s="344"/>
      <c r="AE208" s="255"/>
      <c r="AF208" s="617"/>
      <c r="AG208" s="109"/>
      <c r="AH208" s="109"/>
      <c r="AI208" s="111"/>
      <c r="AJ208" s="5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</row>
    <row r="209" spans="1:86" s="91" customFormat="1" ht="18" hidden="1" customHeight="1">
      <c r="A209" s="614"/>
      <c r="B209" s="529"/>
      <c r="C209" s="194"/>
      <c r="D209" s="195"/>
      <c r="E209" s="196"/>
      <c r="F209" s="197"/>
      <c r="G209" s="568"/>
      <c r="H209" s="339"/>
      <c r="I209" s="339"/>
      <c r="J209" s="340"/>
      <c r="K209" s="255"/>
      <c r="L209" s="568"/>
      <c r="M209" s="343"/>
      <c r="N209" s="343"/>
      <c r="O209" s="344"/>
      <c r="P209" s="255"/>
      <c r="Q209" s="568"/>
      <c r="R209" s="353"/>
      <c r="S209" s="343"/>
      <c r="T209" s="344"/>
      <c r="U209" s="255"/>
      <c r="V209" s="640"/>
      <c r="W209" s="208"/>
      <c r="X209" s="13"/>
      <c r="Y209" s="342"/>
      <c r="Z209" s="268"/>
      <c r="AA209" s="568"/>
      <c r="AB209" s="354"/>
      <c r="AC209" s="343"/>
      <c r="AD209" s="344"/>
      <c r="AE209" s="255"/>
      <c r="AF209" s="617"/>
      <c r="AG209" s="109"/>
      <c r="AH209" s="109"/>
      <c r="AI209" s="111"/>
      <c r="AJ209" s="58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</row>
    <row r="210" spans="1:86" s="91" customFormat="1" ht="18" hidden="1" customHeight="1">
      <c r="A210" s="614"/>
      <c r="B210" s="529"/>
      <c r="C210" s="194"/>
      <c r="D210" s="195"/>
      <c r="E210" s="196"/>
      <c r="F210" s="197"/>
      <c r="G210" s="568"/>
      <c r="H210" s="339"/>
      <c r="I210" s="339"/>
      <c r="J210" s="340"/>
      <c r="K210" s="255"/>
      <c r="L210" s="568"/>
      <c r="M210" s="343"/>
      <c r="N210" s="343"/>
      <c r="O210" s="344"/>
      <c r="P210" s="255"/>
      <c r="Q210" s="568"/>
      <c r="R210" s="353"/>
      <c r="S210" s="343"/>
      <c r="T210" s="344"/>
      <c r="U210" s="255"/>
      <c r="V210" s="640"/>
      <c r="W210" s="208"/>
      <c r="X210" s="13"/>
      <c r="Y210" s="342"/>
      <c r="Z210" s="268"/>
      <c r="AA210" s="568"/>
      <c r="AB210" s="354"/>
      <c r="AC210" s="343"/>
      <c r="AD210" s="344"/>
      <c r="AE210" s="255"/>
      <c r="AF210" s="617"/>
      <c r="AG210" s="109"/>
      <c r="AH210" s="109"/>
      <c r="AI210" s="111"/>
      <c r="AJ210" s="58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</row>
    <row r="211" spans="1:86" s="91" customFormat="1" ht="18" hidden="1" customHeight="1">
      <c r="A211" s="614"/>
      <c r="B211" s="529"/>
      <c r="C211" s="194"/>
      <c r="D211" s="195"/>
      <c r="E211" s="196"/>
      <c r="F211" s="197"/>
      <c r="G211" s="568"/>
      <c r="H211" s="339"/>
      <c r="I211" s="339"/>
      <c r="J211" s="340"/>
      <c r="K211" s="255"/>
      <c r="L211" s="568"/>
      <c r="M211" s="343"/>
      <c r="N211" s="343"/>
      <c r="O211" s="344"/>
      <c r="P211" s="255"/>
      <c r="Q211" s="568"/>
      <c r="R211" s="353"/>
      <c r="S211" s="343"/>
      <c r="T211" s="344"/>
      <c r="U211" s="255"/>
      <c r="V211" s="640"/>
      <c r="W211" s="208"/>
      <c r="X211" s="13"/>
      <c r="Y211" s="342"/>
      <c r="Z211" s="268"/>
      <c r="AA211" s="568"/>
      <c r="AB211" s="354"/>
      <c r="AC211" s="343"/>
      <c r="AD211" s="344"/>
      <c r="AE211" s="255"/>
      <c r="AF211" s="617"/>
      <c r="AG211" s="109"/>
      <c r="AH211" s="109"/>
      <c r="AI211" s="111"/>
      <c r="AJ211" s="58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</row>
    <row r="212" spans="1:86" s="91" customFormat="1" ht="18" hidden="1" customHeight="1">
      <c r="A212" s="614"/>
      <c r="B212" s="529"/>
      <c r="C212" s="194"/>
      <c r="D212" s="195"/>
      <c r="E212" s="196"/>
      <c r="F212" s="197"/>
      <c r="G212" s="568"/>
      <c r="H212" s="339"/>
      <c r="I212" s="339"/>
      <c r="J212" s="340"/>
      <c r="K212" s="255"/>
      <c r="L212" s="568"/>
      <c r="M212" s="343"/>
      <c r="N212" s="343"/>
      <c r="O212" s="344"/>
      <c r="P212" s="255"/>
      <c r="Q212" s="568"/>
      <c r="R212" s="353"/>
      <c r="S212" s="343"/>
      <c r="T212" s="344"/>
      <c r="U212" s="255"/>
      <c r="V212" s="640"/>
      <c r="W212" s="208"/>
      <c r="X212" s="13"/>
      <c r="Y212" s="342"/>
      <c r="Z212" s="268"/>
      <c r="AA212" s="568"/>
      <c r="AB212" s="354"/>
      <c r="AC212" s="343"/>
      <c r="AD212" s="344"/>
      <c r="AE212" s="255"/>
      <c r="AF212" s="617"/>
      <c r="AG212" s="109"/>
      <c r="AH212" s="109"/>
      <c r="AI212" s="111"/>
      <c r="AJ212" s="58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</row>
    <row r="213" spans="1:86" s="91" customFormat="1" ht="18" hidden="1" customHeight="1">
      <c r="A213" s="615"/>
      <c r="B213" s="529"/>
      <c r="C213" s="194"/>
      <c r="D213" s="195"/>
      <c r="E213" s="196"/>
      <c r="F213" s="197"/>
      <c r="G213" s="569"/>
      <c r="H213" s="346"/>
      <c r="I213" s="346"/>
      <c r="J213" s="347"/>
      <c r="K213" s="257"/>
      <c r="L213" s="569"/>
      <c r="M213" s="350"/>
      <c r="N213" s="350"/>
      <c r="O213" s="351"/>
      <c r="P213" s="257"/>
      <c r="Q213" s="569"/>
      <c r="R213" s="353"/>
      <c r="S213" s="343"/>
      <c r="T213" s="344"/>
      <c r="U213" s="255"/>
      <c r="V213" s="641"/>
      <c r="W213" s="208"/>
      <c r="X213" s="13"/>
      <c r="Y213" s="349"/>
      <c r="Z213" s="269"/>
      <c r="AA213" s="569"/>
      <c r="AB213" s="355"/>
      <c r="AC213" s="350"/>
      <c r="AD213" s="351"/>
      <c r="AE213" s="257"/>
      <c r="AF213" s="618"/>
      <c r="AG213" s="212"/>
      <c r="AH213" s="212"/>
      <c r="AI213" s="215"/>
      <c r="AJ213" s="10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</row>
    <row r="214" spans="1:86" s="91" customFormat="1" ht="18" customHeight="1">
      <c r="A214" s="514" t="s">
        <v>59</v>
      </c>
      <c r="B214" s="159"/>
      <c r="C214" s="160"/>
      <c r="D214" s="161"/>
      <c r="E214" s="162"/>
      <c r="F214" s="163"/>
      <c r="G214" s="148"/>
      <c r="H214" s="164"/>
      <c r="I214" s="216"/>
      <c r="J214" s="151"/>
      <c r="K214" s="152"/>
      <c r="L214" s="148" t="s">
        <v>89</v>
      </c>
      <c r="M214" s="164" t="s">
        <v>90</v>
      </c>
      <c r="N214" s="216"/>
      <c r="O214" s="151">
        <v>1529</v>
      </c>
      <c r="P214" s="152" t="s">
        <v>10</v>
      </c>
      <c r="Q214" s="148" t="s">
        <v>7</v>
      </c>
      <c r="R214" s="164" t="s">
        <v>88</v>
      </c>
      <c r="S214" s="217"/>
      <c r="T214" s="151">
        <v>2143</v>
      </c>
      <c r="U214" s="152" t="s">
        <v>10</v>
      </c>
      <c r="V214" s="148" t="s">
        <v>89</v>
      </c>
      <c r="W214" s="164" t="s">
        <v>90</v>
      </c>
      <c r="X214" s="216"/>
      <c r="Y214" s="151">
        <v>1524</v>
      </c>
      <c r="Z214" s="152" t="s">
        <v>10</v>
      </c>
      <c r="AA214" s="148" t="s">
        <v>7</v>
      </c>
      <c r="AB214" s="164" t="s">
        <v>7</v>
      </c>
      <c r="AC214" s="165"/>
      <c r="AD214" s="151">
        <v>2154</v>
      </c>
      <c r="AE214" s="152" t="s">
        <v>10</v>
      </c>
      <c r="AF214" s="148"/>
      <c r="AG214" s="149"/>
      <c r="AH214" s="150"/>
      <c r="AI214" s="149"/>
      <c r="AJ214" s="166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</row>
    <row r="215" spans="1:86" s="1" customFormat="1" ht="18" customHeight="1">
      <c r="A215" s="515"/>
      <c r="B215" s="235"/>
      <c r="C215" s="236"/>
      <c r="D215" s="237"/>
      <c r="E215" s="238"/>
      <c r="F215" s="239"/>
      <c r="G215" s="240"/>
      <c r="H215" s="236"/>
      <c r="I215" s="271"/>
      <c r="J215" s="242"/>
      <c r="K215" s="243"/>
      <c r="L215" s="240"/>
      <c r="M215" s="236" t="s">
        <v>116</v>
      </c>
      <c r="N215" s="241"/>
      <c r="O215" s="236"/>
      <c r="P215" s="243"/>
      <c r="Q215" s="240"/>
      <c r="R215" s="236" t="s">
        <v>116</v>
      </c>
      <c r="S215" s="241"/>
      <c r="T215" s="236"/>
      <c r="U215" s="243"/>
      <c r="V215" s="240"/>
      <c r="W215" s="236" t="s">
        <v>116</v>
      </c>
      <c r="X215" s="271"/>
      <c r="Y215" s="242"/>
      <c r="Z215" s="243"/>
      <c r="AA215" s="240"/>
      <c r="AB215" s="236" t="s">
        <v>116</v>
      </c>
      <c r="AC215" s="241"/>
      <c r="AD215" s="236"/>
      <c r="AE215" s="243"/>
      <c r="AF215" s="240"/>
      <c r="AG215" s="244"/>
      <c r="AH215" s="245"/>
      <c r="AI215" s="244"/>
      <c r="AJ215" s="243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</row>
    <row r="216" spans="1:86" s="1" customFormat="1" ht="18" customHeight="1">
      <c r="A216" s="515"/>
      <c r="B216" s="235"/>
      <c r="C216" s="236"/>
      <c r="D216" s="237"/>
      <c r="E216" s="238"/>
      <c r="F216" s="239"/>
      <c r="G216" s="235"/>
      <c r="H216" s="236"/>
      <c r="I216" s="271"/>
      <c r="J216" s="242"/>
      <c r="K216" s="239"/>
      <c r="L216" s="235"/>
      <c r="M216" s="236" t="s">
        <v>117</v>
      </c>
      <c r="N216" s="241"/>
      <c r="O216" s="236"/>
      <c r="P216" s="239"/>
      <c r="Q216" s="240"/>
      <c r="R216" s="236" t="s">
        <v>117</v>
      </c>
      <c r="S216" s="241"/>
      <c r="T216" s="236"/>
      <c r="U216" s="243"/>
      <c r="V216" s="240"/>
      <c r="W216" s="236" t="s">
        <v>117</v>
      </c>
      <c r="X216" s="271"/>
      <c r="Y216" s="242"/>
      <c r="Z216" s="243"/>
      <c r="AA216" s="240"/>
      <c r="AB216" s="236" t="s">
        <v>117</v>
      </c>
      <c r="AC216" s="241"/>
      <c r="AD216" s="236"/>
      <c r="AE216" s="243"/>
      <c r="AF216" s="235"/>
      <c r="AG216" s="236"/>
      <c r="AH216" s="237"/>
      <c r="AI216" s="238"/>
      <c r="AJ216" s="239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</row>
    <row r="217" spans="1:86" s="1" customFormat="1" ht="18" customHeight="1">
      <c r="A217" s="515"/>
      <c r="B217" s="235"/>
      <c r="C217" s="236"/>
      <c r="D217" s="237"/>
      <c r="E217" s="238"/>
      <c r="F217" s="239"/>
      <c r="G217" s="235"/>
      <c r="H217" s="236"/>
      <c r="I217" s="271"/>
      <c r="J217" s="242"/>
      <c r="K217" s="239"/>
      <c r="L217" s="235"/>
      <c r="M217" s="236" t="s">
        <v>118</v>
      </c>
      <c r="N217" s="241"/>
      <c r="O217" s="236"/>
      <c r="P217" s="239"/>
      <c r="Q217" s="240"/>
      <c r="R217" s="236" t="s">
        <v>118</v>
      </c>
      <c r="S217" s="241"/>
      <c r="T217" s="236"/>
      <c r="U217" s="243"/>
      <c r="V217" s="240"/>
      <c r="W217" s="236" t="s">
        <v>118</v>
      </c>
      <c r="X217" s="271"/>
      <c r="Y217" s="242"/>
      <c r="Z217" s="243"/>
      <c r="AA217" s="240"/>
      <c r="AB217" s="236" t="s">
        <v>118</v>
      </c>
      <c r="AC217" s="241"/>
      <c r="AD217" s="236"/>
      <c r="AE217" s="243"/>
      <c r="AF217" s="235"/>
      <c r="AG217" s="236"/>
      <c r="AH217" s="237"/>
      <c r="AI217" s="238"/>
      <c r="AJ217" s="239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</row>
    <row r="218" spans="1:86" s="1" customFormat="1" ht="18" customHeight="1" thickBot="1">
      <c r="A218" s="515"/>
      <c r="B218" s="235"/>
      <c r="C218" s="236"/>
      <c r="D218" s="237"/>
      <c r="E218" s="238"/>
      <c r="F218" s="239"/>
      <c r="G218" s="246"/>
      <c r="H218" s="247"/>
      <c r="I218" s="272"/>
      <c r="J218" s="249"/>
      <c r="K218" s="250"/>
      <c r="L218" s="246"/>
      <c r="M218" s="247" t="s">
        <v>119</v>
      </c>
      <c r="N218" s="248"/>
      <c r="O218" s="247"/>
      <c r="P218" s="250"/>
      <c r="Q218" s="251"/>
      <c r="R218" s="247" t="s">
        <v>119</v>
      </c>
      <c r="S218" s="248"/>
      <c r="T218" s="247"/>
      <c r="U218" s="252"/>
      <c r="V218" s="251"/>
      <c r="W218" s="247" t="s">
        <v>119</v>
      </c>
      <c r="X218" s="272"/>
      <c r="Y218" s="249"/>
      <c r="Z218" s="252"/>
      <c r="AA218" s="251"/>
      <c r="AB218" s="247" t="s">
        <v>119</v>
      </c>
      <c r="AC218" s="248"/>
      <c r="AD218" s="247"/>
      <c r="AE218" s="252"/>
      <c r="AF218" s="235"/>
      <c r="AG218" s="236"/>
      <c r="AH218" s="237"/>
      <c r="AI218" s="238"/>
      <c r="AJ218" s="239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</row>
    <row r="219" spans="1:86" s="91" customFormat="1" ht="18" customHeight="1">
      <c r="A219" s="515"/>
      <c r="B219" s="167"/>
      <c r="C219" s="168"/>
      <c r="D219" s="169"/>
      <c r="E219" s="170"/>
      <c r="F219" s="171"/>
      <c r="G219" s="153"/>
      <c r="H219" s="229"/>
      <c r="I219" s="174"/>
      <c r="J219" s="154"/>
      <c r="K219" s="156"/>
      <c r="L219" s="153" t="s">
        <v>91</v>
      </c>
      <c r="M219" s="154" t="s">
        <v>91</v>
      </c>
      <c r="N219" s="174"/>
      <c r="O219" s="154">
        <v>285</v>
      </c>
      <c r="P219" s="156" t="s">
        <v>10</v>
      </c>
      <c r="Q219" s="153" t="s">
        <v>91</v>
      </c>
      <c r="R219" s="154" t="s">
        <v>91</v>
      </c>
      <c r="S219" s="155"/>
      <c r="T219" s="151">
        <v>2143</v>
      </c>
      <c r="U219" s="152" t="s">
        <v>10</v>
      </c>
      <c r="V219" s="153" t="s">
        <v>91</v>
      </c>
      <c r="W219" s="154" t="s">
        <v>91</v>
      </c>
      <c r="X219" s="174"/>
      <c r="Y219" s="154">
        <v>283</v>
      </c>
      <c r="Z219" s="156" t="s">
        <v>10</v>
      </c>
      <c r="AA219" s="153"/>
      <c r="AB219" s="154"/>
      <c r="AC219" s="155"/>
      <c r="AD219" s="154"/>
      <c r="AE219" s="156"/>
      <c r="AF219" s="153"/>
      <c r="AG219" s="154"/>
      <c r="AH219" s="155"/>
      <c r="AI219" s="154"/>
      <c r="AJ219" s="156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</row>
    <row r="220" spans="1:86" s="91" customFormat="1" ht="18" hidden="1" customHeight="1" thickBot="1">
      <c r="A220" s="515"/>
      <c r="B220" s="167"/>
      <c r="C220" s="168"/>
      <c r="D220" s="169"/>
      <c r="E220" s="170"/>
      <c r="F220" s="171"/>
      <c r="G220" s="153"/>
      <c r="H220" s="229"/>
      <c r="I220" s="174"/>
      <c r="J220" s="154"/>
      <c r="K220" s="156"/>
      <c r="L220" s="153"/>
      <c r="M220" s="154"/>
      <c r="N220" s="174"/>
      <c r="O220" s="154"/>
      <c r="P220" s="156"/>
      <c r="Q220" s="153"/>
      <c r="R220" s="154"/>
      <c r="S220" s="155"/>
      <c r="T220" s="154"/>
      <c r="U220" s="156"/>
      <c r="V220" s="153"/>
      <c r="W220" s="154"/>
      <c r="X220" s="174"/>
      <c r="Y220" s="154"/>
      <c r="Z220" s="156"/>
      <c r="AA220" s="153"/>
      <c r="AB220" s="154"/>
      <c r="AC220" s="155"/>
      <c r="AD220" s="154"/>
      <c r="AE220" s="156"/>
      <c r="AF220" s="153"/>
      <c r="AG220" s="154"/>
      <c r="AH220" s="155"/>
      <c r="AI220" s="154"/>
      <c r="AJ220" s="156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</row>
    <row r="221" spans="1:86" s="91" customFormat="1" ht="18" hidden="1" customHeight="1">
      <c r="A221" s="515"/>
      <c r="B221" s="167"/>
      <c r="C221" s="168"/>
      <c r="D221" s="169"/>
      <c r="E221" s="170"/>
      <c r="F221" s="171"/>
      <c r="G221" s="153"/>
      <c r="H221" s="229"/>
      <c r="I221" s="174"/>
      <c r="J221" s="154"/>
      <c r="K221" s="156"/>
      <c r="L221" s="153"/>
      <c r="M221" s="154"/>
      <c r="N221" s="174"/>
      <c r="O221" s="154"/>
      <c r="P221" s="156"/>
      <c r="Q221" s="153"/>
      <c r="R221" s="154"/>
      <c r="S221" s="155"/>
      <c r="T221" s="154"/>
      <c r="U221" s="156"/>
      <c r="V221" s="153"/>
      <c r="W221" s="154"/>
      <c r="X221" s="174"/>
      <c r="Y221" s="154"/>
      <c r="Z221" s="156"/>
      <c r="AA221" s="153"/>
      <c r="AB221" s="154"/>
      <c r="AC221" s="155"/>
      <c r="AD221" s="154"/>
      <c r="AE221" s="156"/>
      <c r="AF221" s="153"/>
      <c r="AG221" s="154"/>
      <c r="AH221" s="155"/>
      <c r="AI221" s="154"/>
      <c r="AJ221" s="156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</row>
    <row r="222" spans="1:86" s="91" customFormat="1" ht="18" hidden="1" customHeight="1">
      <c r="A222" s="515"/>
      <c r="B222" s="167"/>
      <c r="C222" s="168"/>
      <c r="D222" s="169"/>
      <c r="E222" s="170"/>
      <c r="F222" s="171"/>
      <c r="G222" s="153"/>
      <c r="H222" s="229"/>
      <c r="I222" s="174"/>
      <c r="J222" s="154"/>
      <c r="K222" s="156"/>
      <c r="L222" s="153"/>
      <c r="M222" s="154"/>
      <c r="N222" s="174"/>
      <c r="O222" s="154"/>
      <c r="P222" s="156"/>
      <c r="Q222" s="153"/>
      <c r="R222" s="154"/>
      <c r="S222" s="155"/>
      <c r="T222" s="154"/>
      <c r="U222" s="156"/>
      <c r="V222" s="153"/>
      <c r="W222" s="154"/>
      <c r="X222" s="174"/>
      <c r="Y222" s="154"/>
      <c r="Z222" s="156"/>
      <c r="AA222" s="153"/>
      <c r="AB222" s="154"/>
      <c r="AC222" s="155"/>
      <c r="AD222" s="154"/>
      <c r="AE222" s="156"/>
      <c r="AF222" s="153"/>
      <c r="AG222" s="154"/>
      <c r="AH222" s="155"/>
      <c r="AI222" s="154"/>
      <c r="AJ222" s="156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</row>
    <row r="223" spans="1:86" s="91" customFormat="1" ht="18" hidden="1" customHeight="1">
      <c r="A223" s="515"/>
      <c r="B223" s="167"/>
      <c r="C223" s="168"/>
      <c r="D223" s="169"/>
      <c r="E223" s="170"/>
      <c r="F223" s="171"/>
      <c r="G223" s="153"/>
      <c r="H223" s="229"/>
      <c r="I223" s="174"/>
      <c r="J223" s="154"/>
      <c r="K223" s="156"/>
      <c r="L223" s="153"/>
      <c r="M223" s="154"/>
      <c r="N223" s="174"/>
      <c r="O223" s="154"/>
      <c r="P223" s="156"/>
      <c r="Q223" s="153"/>
      <c r="R223" s="154"/>
      <c r="S223" s="155"/>
      <c r="T223" s="154"/>
      <c r="U223" s="156"/>
      <c r="V223" s="153"/>
      <c r="W223" s="154"/>
      <c r="X223" s="174"/>
      <c r="Y223" s="154"/>
      <c r="Z223" s="156"/>
      <c r="AA223" s="153"/>
      <c r="AB223" s="154"/>
      <c r="AC223" s="155"/>
      <c r="AD223" s="154"/>
      <c r="AE223" s="156"/>
      <c r="AF223" s="153"/>
      <c r="AG223" s="154"/>
      <c r="AH223" s="155"/>
      <c r="AI223" s="154"/>
      <c r="AJ223" s="156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</row>
    <row r="224" spans="1:86" s="91" customFormat="1" ht="18" hidden="1" customHeight="1">
      <c r="A224" s="515"/>
      <c r="B224" s="167"/>
      <c r="C224" s="168"/>
      <c r="D224" s="169"/>
      <c r="E224" s="170"/>
      <c r="F224" s="171"/>
      <c r="G224" s="153"/>
      <c r="H224" s="229"/>
      <c r="I224" s="174"/>
      <c r="J224" s="154"/>
      <c r="K224" s="156"/>
      <c r="L224" s="153"/>
      <c r="M224" s="154"/>
      <c r="N224" s="174"/>
      <c r="O224" s="154"/>
      <c r="P224" s="156"/>
      <c r="Q224" s="153"/>
      <c r="R224" s="154"/>
      <c r="S224" s="155"/>
      <c r="T224" s="154"/>
      <c r="U224" s="156"/>
      <c r="V224" s="153"/>
      <c r="W224" s="154"/>
      <c r="X224" s="174"/>
      <c r="Y224" s="154"/>
      <c r="Z224" s="156"/>
      <c r="AA224" s="153"/>
      <c r="AB224" s="154"/>
      <c r="AC224" s="155"/>
      <c r="AD224" s="154"/>
      <c r="AE224" s="156"/>
      <c r="AF224" s="153"/>
      <c r="AG224" s="154"/>
      <c r="AH224" s="155"/>
      <c r="AI224" s="154"/>
      <c r="AJ224" s="156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</row>
    <row r="225" spans="1:86" s="91" customFormat="1" ht="18" hidden="1" customHeight="1">
      <c r="A225" s="515"/>
      <c r="B225" s="167"/>
      <c r="C225" s="168"/>
      <c r="D225" s="169"/>
      <c r="E225" s="170"/>
      <c r="F225" s="171"/>
      <c r="G225" s="153"/>
      <c r="H225" s="229"/>
      <c r="I225" s="174"/>
      <c r="J225" s="154"/>
      <c r="K225" s="156"/>
      <c r="L225" s="153"/>
      <c r="M225" s="154"/>
      <c r="N225" s="174"/>
      <c r="O225" s="154"/>
      <c r="P225" s="156"/>
      <c r="Q225" s="153"/>
      <c r="R225" s="154"/>
      <c r="S225" s="155"/>
      <c r="T225" s="154"/>
      <c r="U225" s="156"/>
      <c r="V225" s="153"/>
      <c r="W225" s="154"/>
      <c r="X225" s="174"/>
      <c r="Y225" s="154"/>
      <c r="Z225" s="156"/>
      <c r="AA225" s="153"/>
      <c r="AB225" s="154"/>
      <c r="AC225" s="155"/>
      <c r="AD225" s="154"/>
      <c r="AE225" s="156"/>
      <c r="AF225" s="153"/>
      <c r="AG225" s="154"/>
      <c r="AH225" s="155"/>
      <c r="AI225" s="154"/>
      <c r="AJ225" s="156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</row>
    <row r="226" spans="1:86" s="91" customFormat="1" ht="18" hidden="1" customHeight="1">
      <c r="A226" s="515"/>
      <c r="B226" s="167"/>
      <c r="C226" s="168"/>
      <c r="D226" s="169"/>
      <c r="E226" s="170"/>
      <c r="F226" s="171"/>
      <c r="G226" s="153"/>
      <c r="H226" s="229"/>
      <c r="I226" s="174"/>
      <c r="J226" s="154"/>
      <c r="K226" s="156"/>
      <c r="L226" s="153"/>
      <c r="M226" s="154"/>
      <c r="N226" s="174"/>
      <c r="O226" s="154"/>
      <c r="P226" s="156"/>
      <c r="Q226" s="153"/>
      <c r="R226" s="154"/>
      <c r="S226" s="155"/>
      <c r="T226" s="154"/>
      <c r="U226" s="156"/>
      <c r="V226" s="153"/>
      <c r="W226" s="154"/>
      <c r="X226" s="174"/>
      <c r="Y226" s="154"/>
      <c r="Z226" s="156"/>
      <c r="AA226" s="153"/>
      <c r="AB226" s="154"/>
      <c r="AC226" s="155"/>
      <c r="AD226" s="154"/>
      <c r="AE226" s="156"/>
      <c r="AF226" s="153"/>
      <c r="AG226" s="154"/>
      <c r="AH226" s="155"/>
      <c r="AI226" s="154"/>
      <c r="AJ226" s="15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</row>
    <row r="227" spans="1:86" s="91" customFormat="1" ht="18" hidden="1" customHeight="1">
      <c r="A227" s="515"/>
      <c r="B227" s="167"/>
      <c r="C227" s="168"/>
      <c r="D227" s="169"/>
      <c r="E227" s="170"/>
      <c r="F227" s="171"/>
      <c r="G227" s="153"/>
      <c r="H227" s="229"/>
      <c r="I227" s="174"/>
      <c r="J227" s="154"/>
      <c r="K227" s="156"/>
      <c r="L227" s="153"/>
      <c r="M227" s="154"/>
      <c r="N227" s="174"/>
      <c r="O227" s="154"/>
      <c r="P227" s="156"/>
      <c r="Q227" s="153"/>
      <c r="R227" s="154"/>
      <c r="S227" s="155"/>
      <c r="T227" s="154"/>
      <c r="U227" s="156"/>
      <c r="V227" s="153"/>
      <c r="W227" s="154"/>
      <c r="X227" s="174"/>
      <c r="Y227" s="154"/>
      <c r="Z227" s="156"/>
      <c r="AA227" s="153"/>
      <c r="AB227" s="154"/>
      <c r="AC227" s="155"/>
      <c r="AD227" s="154"/>
      <c r="AE227" s="156"/>
      <c r="AF227" s="153"/>
      <c r="AG227" s="154"/>
      <c r="AH227" s="155"/>
      <c r="AI227" s="154"/>
      <c r="AJ227" s="156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</row>
    <row r="228" spans="1:86" s="91" customFormat="1" ht="18" hidden="1" customHeight="1">
      <c r="A228" s="515"/>
      <c r="B228" s="167"/>
      <c r="C228" s="168"/>
      <c r="D228" s="169"/>
      <c r="E228" s="170"/>
      <c r="F228" s="171"/>
      <c r="G228" s="153"/>
      <c r="H228" s="229"/>
      <c r="I228" s="174"/>
      <c r="J228" s="154"/>
      <c r="K228" s="156"/>
      <c r="L228" s="153"/>
      <c r="M228" s="154"/>
      <c r="N228" s="174"/>
      <c r="O228" s="154"/>
      <c r="P228" s="156"/>
      <c r="Q228" s="153"/>
      <c r="R228" s="154"/>
      <c r="S228" s="155"/>
      <c r="T228" s="154"/>
      <c r="U228" s="156"/>
      <c r="V228" s="153"/>
      <c r="W228" s="154"/>
      <c r="X228" s="174"/>
      <c r="Y228" s="154"/>
      <c r="Z228" s="156"/>
      <c r="AA228" s="153"/>
      <c r="AB228" s="154"/>
      <c r="AC228" s="155"/>
      <c r="AD228" s="154"/>
      <c r="AE228" s="156"/>
      <c r="AF228" s="153"/>
      <c r="AG228" s="154"/>
      <c r="AH228" s="155"/>
      <c r="AI228" s="154"/>
      <c r="AJ228" s="156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</row>
    <row r="229" spans="1:86" s="91" customFormat="1" ht="18" hidden="1" customHeight="1">
      <c r="A229" s="515"/>
      <c r="B229" s="167"/>
      <c r="C229" s="168"/>
      <c r="D229" s="169"/>
      <c r="E229" s="170"/>
      <c r="F229" s="171"/>
      <c r="G229" s="153"/>
      <c r="H229" s="229"/>
      <c r="I229" s="174"/>
      <c r="J229" s="154"/>
      <c r="K229" s="156"/>
      <c r="L229" s="153"/>
      <c r="M229" s="154"/>
      <c r="N229" s="174"/>
      <c r="O229" s="154"/>
      <c r="P229" s="156"/>
      <c r="Q229" s="153"/>
      <c r="R229" s="154"/>
      <c r="S229" s="155"/>
      <c r="T229" s="154"/>
      <c r="U229" s="156"/>
      <c r="V229" s="153"/>
      <c r="W229" s="154"/>
      <c r="X229" s="174"/>
      <c r="Y229" s="154"/>
      <c r="Z229" s="156"/>
      <c r="AA229" s="153"/>
      <c r="AB229" s="154"/>
      <c r="AC229" s="155"/>
      <c r="AD229" s="154"/>
      <c r="AE229" s="156"/>
      <c r="AF229" s="153"/>
      <c r="AG229" s="154"/>
      <c r="AH229" s="155"/>
      <c r="AI229" s="154"/>
      <c r="AJ229" s="156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</row>
    <row r="230" spans="1:86" s="91" customFormat="1" ht="18" hidden="1" customHeight="1">
      <c r="A230" s="515"/>
      <c r="B230" s="167"/>
      <c r="C230" s="168"/>
      <c r="D230" s="169"/>
      <c r="E230" s="170"/>
      <c r="F230" s="171"/>
      <c r="G230" s="153"/>
      <c r="H230" s="229"/>
      <c r="I230" s="174"/>
      <c r="J230" s="154"/>
      <c r="K230" s="156"/>
      <c r="L230" s="153"/>
      <c r="M230" s="154"/>
      <c r="N230" s="174"/>
      <c r="O230" s="154"/>
      <c r="P230" s="156"/>
      <c r="Q230" s="153"/>
      <c r="R230" s="154"/>
      <c r="S230" s="155"/>
      <c r="T230" s="154"/>
      <c r="U230" s="156"/>
      <c r="V230" s="153"/>
      <c r="W230" s="154"/>
      <c r="X230" s="174"/>
      <c r="Y230" s="154"/>
      <c r="Z230" s="156"/>
      <c r="AA230" s="153"/>
      <c r="AB230" s="154"/>
      <c r="AC230" s="155"/>
      <c r="AD230" s="154"/>
      <c r="AE230" s="156"/>
      <c r="AF230" s="153"/>
      <c r="AG230" s="154"/>
      <c r="AH230" s="155"/>
      <c r="AI230" s="154"/>
      <c r="AJ230" s="156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</row>
    <row r="231" spans="1:86" s="91" customFormat="1" ht="18" hidden="1" customHeight="1">
      <c r="A231" s="515"/>
      <c r="B231" s="167"/>
      <c r="C231" s="168"/>
      <c r="D231" s="169"/>
      <c r="E231" s="170"/>
      <c r="F231" s="171"/>
      <c r="G231" s="153"/>
      <c r="H231" s="229"/>
      <c r="I231" s="174"/>
      <c r="J231" s="154"/>
      <c r="K231" s="156"/>
      <c r="L231" s="153"/>
      <c r="M231" s="154"/>
      <c r="N231" s="174"/>
      <c r="O231" s="154"/>
      <c r="P231" s="156"/>
      <c r="Q231" s="153"/>
      <c r="R231" s="154"/>
      <c r="S231" s="155"/>
      <c r="T231" s="154"/>
      <c r="U231" s="156"/>
      <c r="V231" s="153"/>
      <c r="W231" s="154"/>
      <c r="X231" s="174"/>
      <c r="Y231" s="154"/>
      <c r="Z231" s="156"/>
      <c r="AA231" s="153"/>
      <c r="AB231" s="154"/>
      <c r="AC231" s="155"/>
      <c r="AD231" s="154"/>
      <c r="AE231" s="156"/>
      <c r="AF231" s="153"/>
      <c r="AG231" s="154"/>
      <c r="AH231" s="155"/>
      <c r="AI231" s="154"/>
      <c r="AJ231" s="156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</row>
    <row r="232" spans="1:86" s="91" customFormat="1" ht="18" hidden="1" customHeight="1">
      <c r="A232" s="515"/>
      <c r="B232" s="175"/>
      <c r="C232" s="176"/>
      <c r="D232" s="177"/>
      <c r="E232" s="177"/>
      <c r="F232" s="178"/>
      <c r="G232" s="179"/>
      <c r="H232" s="230"/>
      <c r="I232" s="181"/>
      <c r="J232" s="180"/>
      <c r="K232" s="182"/>
      <c r="L232" s="179"/>
      <c r="M232" s="180"/>
      <c r="N232" s="181"/>
      <c r="O232" s="180"/>
      <c r="P232" s="182"/>
      <c r="Q232" s="179"/>
      <c r="R232" s="180"/>
      <c r="S232" s="180"/>
      <c r="T232" s="180"/>
      <c r="U232" s="182"/>
      <c r="V232" s="179"/>
      <c r="W232" s="180"/>
      <c r="X232" s="181"/>
      <c r="Y232" s="180"/>
      <c r="Z232" s="182"/>
      <c r="AA232" s="179"/>
      <c r="AB232" s="180"/>
      <c r="AC232" s="180"/>
      <c r="AD232" s="180"/>
      <c r="AE232" s="182"/>
      <c r="AF232" s="179"/>
      <c r="AG232" s="180"/>
      <c r="AH232" s="180"/>
      <c r="AI232" s="180"/>
      <c r="AJ232" s="18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</row>
    <row r="233" spans="1:86" s="91" customFormat="1" ht="18" hidden="1" customHeight="1">
      <c r="A233" s="516"/>
      <c r="B233" s="517" t="s">
        <v>9</v>
      </c>
      <c r="C233" s="518"/>
      <c r="D233" s="519"/>
      <c r="E233" s="518"/>
      <c r="F233" s="32" t="s">
        <v>10</v>
      </c>
      <c r="G233" s="520"/>
      <c r="H233" s="521"/>
      <c r="I233" s="522"/>
      <c r="J233" s="521"/>
      <c r="K233" s="183"/>
      <c r="L233" s="520"/>
      <c r="M233" s="521"/>
      <c r="N233" s="522"/>
      <c r="O233" s="521"/>
      <c r="P233" s="183"/>
      <c r="Q233" s="520"/>
      <c r="R233" s="521"/>
      <c r="S233" s="522"/>
      <c r="T233" s="521"/>
      <c r="U233" s="183"/>
      <c r="V233" s="520"/>
      <c r="W233" s="521"/>
      <c r="X233" s="522"/>
      <c r="Y233" s="521"/>
      <c r="Z233" s="183"/>
      <c r="AA233" s="520"/>
      <c r="AB233" s="521"/>
      <c r="AC233" s="522"/>
      <c r="AD233" s="521"/>
      <c r="AE233" s="183"/>
      <c r="AF233" s="520"/>
      <c r="AG233" s="521"/>
      <c r="AH233" s="522"/>
      <c r="AI233" s="521"/>
      <c r="AJ233" s="18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</row>
    <row r="234" spans="1:86" s="91" customFormat="1" ht="18" hidden="1" customHeight="1">
      <c r="A234" s="514" t="s">
        <v>60</v>
      </c>
      <c r="B234" s="159"/>
      <c r="C234" s="160"/>
      <c r="D234" s="161"/>
      <c r="E234" s="162"/>
      <c r="F234" s="163"/>
      <c r="G234" s="148"/>
      <c r="H234" s="231"/>
      <c r="I234" s="218"/>
      <c r="J234" s="149"/>
      <c r="K234" s="166"/>
      <c r="L234" s="148"/>
      <c r="M234" s="149"/>
      <c r="N234" s="218"/>
      <c r="O234" s="149"/>
      <c r="P234" s="166"/>
      <c r="Q234" s="148"/>
      <c r="R234" s="149"/>
      <c r="S234" s="150"/>
      <c r="T234" s="149"/>
      <c r="U234" s="166"/>
      <c r="V234" s="148"/>
      <c r="W234" s="149"/>
      <c r="X234" s="218"/>
      <c r="Y234" s="149"/>
      <c r="Z234" s="166"/>
      <c r="AA234" s="148"/>
      <c r="AB234" s="149"/>
      <c r="AC234" s="150"/>
      <c r="AD234" s="149"/>
      <c r="AE234" s="166"/>
      <c r="AF234" s="148"/>
      <c r="AG234" s="149"/>
      <c r="AH234" s="150"/>
      <c r="AI234" s="149"/>
      <c r="AJ234" s="166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</row>
    <row r="235" spans="1:86" s="91" customFormat="1" ht="18" hidden="1" customHeight="1">
      <c r="A235" s="515"/>
      <c r="B235" s="167"/>
      <c r="C235" s="168"/>
      <c r="D235" s="169"/>
      <c r="E235" s="170"/>
      <c r="F235" s="171"/>
      <c r="G235" s="153"/>
      <c r="H235" s="229"/>
      <c r="I235" s="174"/>
      <c r="J235" s="154"/>
      <c r="K235" s="156"/>
      <c r="L235" s="153"/>
      <c r="M235" s="154"/>
      <c r="N235" s="174"/>
      <c r="O235" s="154"/>
      <c r="P235" s="156"/>
      <c r="Q235" s="153"/>
      <c r="R235" s="154"/>
      <c r="S235" s="155"/>
      <c r="T235" s="154"/>
      <c r="U235" s="156"/>
      <c r="V235" s="153"/>
      <c r="W235" s="154"/>
      <c r="X235" s="174"/>
      <c r="Y235" s="154"/>
      <c r="Z235" s="156"/>
      <c r="AA235" s="153"/>
      <c r="AB235" s="154"/>
      <c r="AC235" s="155"/>
      <c r="AD235" s="154"/>
      <c r="AE235" s="156"/>
      <c r="AF235" s="153"/>
      <c r="AG235" s="154"/>
      <c r="AH235" s="155"/>
      <c r="AI235" s="154"/>
      <c r="AJ235" s="156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</row>
    <row r="236" spans="1:86" s="91" customFormat="1" ht="18" hidden="1" customHeight="1">
      <c r="A236" s="515"/>
      <c r="B236" s="167"/>
      <c r="C236" s="168"/>
      <c r="D236" s="169"/>
      <c r="E236" s="170"/>
      <c r="F236" s="171"/>
      <c r="G236" s="153"/>
      <c r="H236" s="229"/>
      <c r="I236" s="174"/>
      <c r="J236" s="154"/>
      <c r="K236" s="156"/>
      <c r="L236" s="153"/>
      <c r="M236" s="154"/>
      <c r="N236" s="174"/>
      <c r="O236" s="154"/>
      <c r="P236" s="156"/>
      <c r="Q236" s="153"/>
      <c r="R236" s="154"/>
      <c r="S236" s="155"/>
      <c r="T236" s="154"/>
      <c r="U236" s="156"/>
      <c r="V236" s="153"/>
      <c r="W236" s="154"/>
      <c r="X236" s="174"/>
      <c r="Y236" s="154"/>
      <c r="Z236" s="156"/>
      <c r="AA236" s="153"/>
      <c r="AB236" s="154"/>
      <c r="AC236" s="155"/>
      <c r="AD236" s="154"/>
      <c r="AE236" s="156"/>
      <c r="AF236" s="153"/>
      <c r="AG236" s="154"/>
      <c r="AH236" s="155"/>
      <c r="AI236" s="154"/>
      <c r="AJ236" s="15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</row>
    <row r="237" spans="1:86" s="91" customFormat="1" ht="18" hidden="1" customHeight="1">
      <c r="A237" s="515"/>
      <c r="B237" s="167"/>
      <c r="C237" s="168"/>
      <c r="D237" s="169"/>
      <c r="E237" s="170"/>
      <c r="F237" s="171"/>
      <c r="G237" s="153"/>
      <c r="H237" s="229"/>
      <c r="I237" s="174"/>
      <c r="J237" s="154"/>
      <c r="K237" s="156"/>
      <c r="L237" s="153"/>
      <c r="M237" s="154"/>
      <c r="N237" s="174"/>
      <c r="O237" s="154"/>
      <c r="P237" s="156"/>
      <c r="Q237" s="153"/>
      <c r="R237" s="154"/>
      <c r="S237" s="155"/>
      <c r="T237" s="154"/>
      <c r="U237" s="156"/>
      <c r="V237" s="153"/>
      <c r="W237" s="154"/>
      <c r="X237" s="174"/>
      <c r="Y237" s="154"/>
      <c r="Z237" s="156"/>
      <c r="AA237" s="153"/>
      <c r="AB237" s="154"/>
      <c r="AC237" s="155"/>
      <c r="AD237" s="154"/>
      <c r="AE237" s="156"/>
      <c r="AF237" s="153"/>
      <c r="AG237" s="154"/>
      <c r="AH237" s="155"/>
      <c r="AI237" s="154"/>
      <c r="AJ237" s="156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</row>
    <row r="238" spans="1:86" s="91" customFormat="1" ht="18" hidden="1" customHeight="1">
      <c r="A238" s="515"/>
      <c r="B238" s="167"/>
      <c r="C238" s="168"/>
      <c r="D238" s="169"/>
      <c r="E238" s="170"/>
      <c r="F238" s="171"/>
      <c r="G238" s="153"/>
      <c r="H238" s="229"/>
      <c r="I238" s="174"/>
      <c r="J238" s="154"/>
      <c r="K238" s="156"/>
      <c r="L238" s="153"/>
      <c r="M238" s="154"/>
      <c r="N238" s="174"/>
      <c r="O238" s="154"/>
      <c r="P238" s="156"/>
      <c r="Q238" s="153"/>
      <c r="R238" s="154"/>
      <c r="S238" s="155"/>
      <c r="T238" s="154"/>
      <c r="U238" s="156"/>
      <c r="V238" s="153"/>
      <c r="W238" s="154"/>
      <c r="X238" s="174"/>
      <c r="Y238" s="154"/>
      <c r="Z238" s="156"/>
      <c r="AA238" s="153"/>
      <c r="AB238" s="154"/>
      <c r="AC238" s="155"/>
      <c r="AD238" s="154"/>
      <c r="AE238" s="156"/>
      <c r="AF238" s="153"/>
      <c r="AG238" s="154"/>
      <c r="AH238" s="155"/>
      <c r="AI238" s="154"/>
      <c r="AJ238" s="156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</row>
    <row r="239" spans="1:86" s="91" customFormat="1" ht="18" hidden="1" customHeight="1">
      <c r="A239" s="515"/>
      <c r="B239" s="167"/>
      <c r="C239" s="168"/>
      <c r="D239" s="169"/>
      <c r="E239" s="170"/>
      <c r="F239" s="171"/>
      <c r="G239" s="153"/>
      <c r="H239" s="229"/>
      <c r="I239" s="174"/>
      <c r="J239" s="154"/>
      <c r="K239" s="156"/>
      <c r="L239" s="153"/>
      <c r="M239" s="154"/>
      <c r="N239" s="174"/>
      <c r="O239" s="154"/>
      <c r="P239" s="156"/>
      <c r="Q239" s="153"/>
      <c r="R239" s="154"/>
      <c r="S239" s="155"/>
      <c r="T239" s="154"/>
      <c r="U239" s="156"/>
      <c r="V239" s="153"/>
      <c r="W239" s="154"/>
      <c r="X239" s="174"/>
      <c r="Y239" s="154"/>
      <c r="Z239" s="156"/>
      <c r="AA239" s="153"/>
      <c r="AB239" s="154"/>
      <c r="AC239" s="155"/>
      <c r="AD239" s="154"/>
      <c r="AE239" s="156"/>
      <c r="AF239" s="153"/>
      <c r="AG239" s="154"/>
      <c r="AH239" s="155"/>
      <c r="AI239" s="154"/>
      <c r="AJ239" s="156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</row>
    <row r="240" spans="1:86" s="91" customFormat="1" ht="18" hidden="1" customHeight="1">
      <c r="A240" s="515"/>
      <c r="B240" s="167"/>
      <c r="C240" s="168"/>
      <c r="D240" s="169"/>
      <c r="E240" s="170"/>
      <c r="F240" s="171"/>
      <c r="G240" s="153"/>
      <c r="H240" s="229"/>
      <c r="I240" s="174"/>
      <c r="J240" s="154"/>
      <c r="K240" s="156"/>
      <c r="L240" s="153"/>
      <c r="M240" s="154"/>
      <c r="N240" s="174"/>
      <c r="O240" s="154"/>
      <c r="P240" s="156"/>
      <c r="Q240" s="153"/>
      <c r="R240" s="154"/>
      <c r="S240" s="155"/>
      <c r="T240" s="154"/>
      <c r="U240" s="156"/>
      <c r="V240" s="153"/>
      <c r="W240" s="154"/>
      <c r="X240" s="174"/>
      <c r="Y240" s="154"/>
      <c r="Z240" s="156"/>
      <c r="AA240" s="153"/>
      <c r="AB240" s="154"/>
      <c r="AC240" s="155"/>
      <c r="AD240" s="154"/>
      <c r="AE240" s="156"/>
      <c r="AF240" s="153"/>
      <c r="AG240" s="154"/>
      <c r="AH240" s="155"/>
      <c r="AI240" s="154"/>
      <c r="AJ240" s="156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</row>
    <row r="241" spans="1:86" ht="18.75" hidden="1" customHeight="1">
      <c r="A241" s="515"/>
      <c r="B241" s="167"/>
      <c r="C241" s="168"/>
      <c r="D241" s="169"/>
      <c r="E241" s="170"/>
      <c r="F241" s="171"/>
      <c r="G241" s="153"/>
      <c r="H241" s="229"/>
      <c r="I241" s="174"/>
      <c r="J241" s="154"/>
      <c r="K241" s="156"/>
      <c r="L241" s="153"/>
      <c r="M241" s="154"/>
      <c r="N241" s="174"/>
      <c r="O241" s="154"/>
      <c r="P241" s="156"/>
      <c r="Q241" s="153"/>
      <c r="R241" s="154"/>
      <c r="S241" s="155"/>
      <c r="T241" s="154"/>
      <c r="U241" s="156"/>
      <c r="V241" s="153"/>
      <c r="W241" s="154"/>
      <c r="X241" s="174"/>
      <c r="Y241" s="154"/>
      <c r="Z241" s="156"/>
      <c r="AA241" s="153"/>
      <c r="AB241" s="154"/>
      <c r="AC241" s="155"/>
      <c r="AD241" s="154"/>
      <c r="AE241" s="156"/>
      <c r="AF241" s="153"/>
      <c r="AG241" s="154"/>
      <c r="AH241" s="155"/>
      <c r="AI241" s="154"/>
      <c r="AJ241" s="156"/>
    </row>
    <row r="242" spans="1:86" ht="18.75" hidden="1" customHeight="1">
      <c r="A242" s="515"/>
      <c r="B242" s="167"/>
      <c r="C242" s="168"/>
      <c r="D242" s="169"/>
      <c r="E242" s="170"/>
      <c r="F242" s="171"/>
      <c r="G242" s="153"/>
      <c r="H242" s="229"/>
      <c r="I242" s="174"/>
      <c r="J242" s="154"/>
      <c r="K242" s="156"/>
      <c r="L242" s="153"/>
      <c r="M242" s="154"/>
      <c r="N242" s="174"/>
      <c r="O242" s="154"/>
      <c r="P242" s="156"/>
      <c r="Q242" s="153"/>
      <c r="R242" s="154"/>
      <c r="S242" s="155"/>
      <c r="T242" s="154"/>
      <c r="U242" s="156"/>
      <c r="V242" s="153"/>
      <c r="W242" s="154"/>
      <c r="X242" s="174"/>
      <c r="Y242" s="154"/>
      <c r="Z242" s="156"/>
      <c r="AA242" s="153"/>
      <c r="AB242" s="154"/>
      <c r="AC242" s="155"/>
      <c r="AD242" s="154"/>
      <c r="AE242" s="156"/>
      <c r="AF242" s="153"/>
      <c r="AG242" s="154"/>
      <c r="AH242" s="155"/>
      <c r="AI242" s="154"/>
      <c r="AJ242" s="156"/>
    </row>
    <row r="243" spans="1:86" ht="18.75" hidden="1" customHeight="1">
      <c r="A243" s="515"/>
      <c r="B243" s="167"/>
      <c r="C243" s="168"/>
      <c r="D243" s="169"/>
      <c r="E243" s="170"/>
      <c r="F243" s="171"/>
      <c r="G243" s="153"/>
      <c r="H243" s="229"/>
      <c r="I243" s="174"/>
      <c r="J243" s="154"/>
      <c r="K243" s="156"/>
      <c r="L243" s="153"/>
      <c r="M243" s="154"/>
      <c r="N243" s="174"/>
      <c r="O243" s="154"/>
      <c r="P243" s="156"/>
      <c r="Q243" s="153"/>
      <c r="R243" s="154"/>
      <c r="S243" s="155"/>
      <c r="T243" s="154"/>
      <c r="U243" s="156"/>
      <c r="V243" s="153"/>
      <c r="W243" s="154"/>
      <c r="X243" s="174"/>
      <c r="Y243" s="154"/>
      <c r="Z243" s="156"/>
      <c r="AA243" s="153"/>
      <c r="AB243" s="154"/>
      <c r="AC243" s="155"/>
      <c r="AD243" s="154"/>
      <c r="AE243" s="156"/>
      <c r="AF243" s="153"/>
      <c r="AG243" s="154"/>
      <c r="AH243" s="155"/>
      <c r="AI243" s="154"/>
      <c r="AJ243" s="156"/>
    </row>
    <row r="244" spans="1:86" ht="18.75" hidden="1" customHeight="1">
      <c r="A244" s="515"/>
      <c r="B244" s="167"/>
      <c r="C244" s="168"/>
      <c r="D244" s="169"/>
      <c r="E244" s="170"/>
      <c r="F244" s="171"/>
      <c r="G244" s="153"/>
      <c r="H244" s="229"/>
      <c r="I244" s="174"/>
      <c r="J244" s="154"/>
      <c r="K244" s="156"/>
      <c r="L244" s="153"/>
      <c r="M244" s="154"/>
      <c r="N244" s="174"/>
      <c r="O244" s="154"/>
      <c r="P244" s="156"/>
      <c r="Q244" s="153"/>
      <c r="R244" s="154"/>
      <c r="S244" s="155"/>
      <c r="T244" s="154"/>
      <c r="U244" s="156"/>
      <c r="V244" s="153"/>
      <c r="W244" s="154"/>
      <c r="X244" s="174"/>
      <c r="Y244" s="154"/>
      <c r="Z244" s="156"/>
      <c r="AA244" s="153"/>
      <c r="AB244" s="154"/>
      <c r="AC244" s="155"/>
      <c r="AD244" s="154"/>
      <c r="AE244" s="156"/>
      <c r="AF244" s="153"/>
      <c r="AG244" s="154"/>
      <c r="AH244" s="155"/>
      <c r="AI244" s="154"/>
      <c r="AJ244" s="156"/>
    </row>
    <row r="245" spans="1:86" ht="18.75" hidden="1" customHeight="1">
      <c r="A245" s="515"/>
      <c r="B245" s="167"/>
      <c r="C245" s="168"/>
      <c r="D245" s="169"/>
      <c r="E245" s="170"/>
      <c r="F245" s="171"/>
      <c r="G245" s="153"/>
      <c r="H245" s="229"/>
      <c r="I245" s="174"/>
      <c r="J245" s="154"/>
      <c r="K245" s="156"/>
      <c r="L245" s="153"/>
      <c r="M245" s="154"/>
      <c r="N245" s="174"/>
      <c r="O245" s="154"/>
      <c r="P245" s="156"/>
      <c r="Q245" s="153"/>
      <c r="R245" s="154"/>
      <c r="S245" s="155"/>
      <c r="T245" s="154"/>
      <c r="U245" s="156"/>
      <c r="V245" s="153"/>
      <c r="W245" s="154"/>
      <c r="X245" s="174"/>
      <c r="Y245" s="154"/>
      <c r="Z245" s="156"/>
      <c r="AA245" s="153"/>
      <c r="AB245" s="154"/>
      <c r="AC245" s="155"/>
      <c r="AD245" s="154"/>
      <c r="AE245" s="156"/>
      <c r="AF245" s="153"/>
      <c r="AG245" s="154"/>
      <c r="AH245" s="155"/>
      <c r="AI245" s="154"/>
      <c r="AJ245" s="156"/>
    </row>
    <row r="246" spans="1:86" ht="18.75" hidden="1" customHeight="1">
      <c r="A246" s="515"/>
      <c r="B246" s="167"/>
      <c r="C246" s="168"/>
      <c r="D246" s="169"/>
      <c r="E246" s="170"/>
      <c r="F246" s="171"/>
      <c r="G246" s="153"/>
      <c r="H246" s="229"/>
      <c r="I246" s="174"/>
      <c r="J246" s="154"/>
      <c r="K246" s="156"/>
      <c r="L246" s="153"/>
      <c r="M246" s="154"/>
      <c r="N246" s="174"/>
      <c r="O246" s="154"/>
      <c r="P246" s="156"/>
      <c r="Q246" s="153"/>
      <c r="R246" s="154"/>
      <c r="S246" s="155"/>
      <c r="T246" s="154"/>
      <c r="U246" s="156"/>
      <c r="V246" s="153"/>
      <c r="W246" s="154"/>
      <c r="X246" s="174"/>
      <c r="Y246" s="154"/>
      <c r="Z246" s="156"/>
      <c r="AA246" s="153"/>
      <c r="AB246" s="154"/>
      <c r="AC246" s="155"/>
      <c r="AD246" s="154"/>
      <c r="AE246" s="156"/>
      <c r="AF246" s="153"/>
      <c r="AG246" s="154"/>
      <c r="AH246" s="155"/>
      <c r="AI246" s="154"/>
      <c r="AJ246" s="156"/>
    </row>
    <row r="247" spans="1:86" ht="18.75" hidden="1" customHeight="1">
      <c r="A247" s="515"/>
      <c r="B247" s="167"/>
      <c r="C247" s="168"/>
      <c r="D247" s="169"/>
      <c r="E247" s="170"/>
      <c r="F247" s="171"/>
      <c r="G247" s="153"/>
      <c r="H247" s="229"/>
      <c r="I247" s="174"/>
      <c r="J247" s="154"/>
      <c r="K247" s="156"/>
      <c r="L247" s="153"/>
      <c r="M247" s="154"/>
      <c r="N247" s="174"/>
      <c r="O247" s="154"/>
      <c r="P247" s="156"/>
      <c r="Q247" s="153"/>
      <c r="R247" s="154"/>
      <c r="S247" s="155"/>
      <c r="T247" s="154"/>
      <c r="U247" s="156"/>
      <c r="V247" s="153"/>
      <c r="W247" s="154"/>
      <c r="X247" s="174"/>
      <c r="Y247" s="154"/>
      <c r="Z247" s="156"/>
      <c r="AA247" s="153"/>
      <c r="AB247" s="154"/>
      <c r="AC247" s="155"/>
      <c r="AD247" s="154"/>
      <c r="AE247" s="156"/>
      <c r="AF247" s="153"/>
      <c r="AG247" s="154"/>
      <c r="AH247" s="155"/>
      <c r="AI247" s="154"/>
      <c r="AJ247" s="156"/>
    </row>
    <row r="248" spans="1:86" ht="18.75" hidden="1" customHeight="1">
      <c r="A248" s="515"/>
      <c r="B248" s="175"/>
      <c r="C248" s="176"/>
      <c r="D248" s="177"/>
      <c r="E248" s="177"/>
      <c r="F248" s="178"/>
      <c r="G248" s="179"/>
      <c r="H248" s="230"/>
      <c r="I248" s="181"/>
      <c r="J248" s="180"/>
      <c r="K248" s="182"/>
      <c r="L248" s="179"/>
      <c r="M248" s="180"/>
      <c r="N248" s="181"/>
      <c r="O248" s="180"/>
      <c r="P248" s="182"/>
      <c r="Q248" s="179"/>
      <c r="R248" s="180"/>
      <c r="S248" s="180"/>
      <c r="T248" s="180"/>
      <c r="U248" s="182"/>
      <c r="V248" s="179"/>
      <c r="W248" s="180"/>
      <c r="X248" s="181"/>
      <c r="Y248" s="180"/>
      <c r="Z248" s="182"/>
      <c r="AA248" s="179"/>
      <c r="AB248" s="180"/>
      <c r="AC248" s="180"/>
      <c r="AD248" s="180"/>
      <c r="AE248" s="182"/>
      <c r="AF248" s="179"/>
      <c r="AG248" s="180"/>
      <c r="AH248" s="180"/>
      <c r="AI248" s="180"/>
      <c r="AJ248" s="182"/>
    </row>
    <row r="249" spans="1:86" ht="18.75" hidden="1" customHeight="1">
      <c r="A249" s="516"/>
      <c r="B249" s="517" t="s">
        <v>9</v>
      </c>
      <c r="C249" s="518"/>
      <c r="D249" s="519"/>
      <c r="E249" s="518"/>
      <c r="F249" s="32" t="s">
        <v>10</v>
      </c>
      <c r="G249" s="520"/>
      <c r="H249" s="521"/>
      <c r="I249" s="522"/>
      <c r="J249" s="521"/>
      <c r="K249" s="183"/>
      <c r="L249" s="520"/>
      <c r="M249" s="521"/>
      <c r="N249" s="522"/>
      <c r="O249" s="521"/>
      <c r="P249" s="183"/>
      <c r="Q249" s="520"/>
      <c r="R249" s="521"/>
      <c r="S249" s="522"/>
      <c r="T249" s="521"/>
      <c r="U249" s="183"/>
      <c r="V249" s="520"/>
      <c r="W249" s="521"/>
      <c r="X249" s="522"/>
      <c r="Y249" s="521"/>
      <c r="Z249" s="183"/>
      <c r="AA249" s="520"/>
      <c r="AB249" s="521"/>
      <c r="AC249" s="522"/>
      <c r="AD249" s="521"/>
      <c r="AE249" s="183"/>
      <c r="AF249" s="520"/>
      <c r="AG249" s="521"/>
      <c r="AH249" s="522"/>
      <c r="AI249" s="521"/>
      <c r="AJ249" s="183"/>
    </row>
    <row r="250" spans="1:86" s="1" customFormat="1" ht="18" customHeight="1">
      <c r="A250" s="234"/>
      <c r="B250" s="235"/>
      <c r="C250" s="236"/>
      <c r="D250" s="237"/>
      <c r="E250" s="238"/>
      <c r="F250" s="239"/>
      <c r="G250" s="240"/>
      <c r="H250" s="236"/>
      <c r="I250" s="271"/>
      <c r="J250" s="242"/>
      <c r="K250" s="243"/>
      <c r="L250" s="240"/>
      <c r="M250" s="236" t="s">
        <v>116</v>
      </c>
      <c r="N250" s="241"/>
      <c r="O250" s="236"/>
      <c r="P250" s="243"/>
      <c r="Q250" s="240"/>
      <c r="R250" s="236" t="s">
        <v>116</v>
      </c>
      <c r="S250" s="241"/>
      <c r="T250" s="236"/>
      <c r="U250" s="243"/>
      <c r="V250" s="240"/>
      <c r="W250" s="236" t="s">
        <v>116</v>
      </c>
      <c r="X250" s="271"/>
      <c r="Y250" s="242"/>
      <c r="Z250" s="243"/>
      <c r="AA250" s="240"/>
      <c r="AB250" s="236"/>
      <c r="AC250" s="241"/>
      <c r="AD250" s="236"/>
      <c r="AE250" s="243"/>
      <c r="AF250" s="240"/>
      <c r="AG250" s="244"/>
      <c r="AH250" s="245"/>
      <c r="AI250" s="244"/>
      <c r="AJ250" s="243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</row>
    <row r="251" spans="1:86" s="1" customFormat="1" ht="18" customHeight="1">
      <c r="A251" s="234"/>
      <c r="B251" s="235"/>
      <c r="C251" s="236"/>
      <c r="D251" s="237"/>
      <c r="E251" s="238"/>
      <c r="F251" s="239"/>
      <c r="G251" s="235"/>
      <c r="H251" s="236"/>
      <c r="I251" s="271"/>
      <c r="J251" s="242"/>
      <c r="K251" s="239"/>
      <c r="L251" s="235"/>
      <c r="M251" s="236" t="s">
        <v>117</v>
      </c>
      <c r="N251" s="241"/>
      <c r="O251" s="236"/>
      <c r="P251" s="239"/>
      <c r="Q251" s="235"/>
      <c r="R251" s="236" t="s">
        <v>117</v>
      </c>
      <c r="S251" s="241"/>
      <c r="T251" s="236"/>
      <c r="U251" s="243"/>
      <c r="V251" s="240"/>
      <c r="W251" s="236" t="s">
        <v>117</v>
      </c>
      <c r="X251" s="271"/>
      <c r="Y251" s="242"/>
      <c r="Z251" s="243"/>
      <c r="AA251" s="240"/>
      <c r="AB251" s="236"/>
      <c r="AC251" s="241"/>
      <c r="AD251" s="236"/>
      <c r="AE251" s="243"/>
      <c r="AF251" s="235"/>
      <c r="AG251" s="236"/>
      <c r="AH251" s="237"/>
      <c r="AI251" s="238"/>
      <c r="AJ251" s="239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</row>
    <row r="252" spans="1:86" s="1" customFormat="1" ht="18" customHeight="1">
      <c r="A252" s="234"/>
      <c r="B252" s="235"/>
      <c r="C252" s="236"/>
      <c r="D252" s="237"/>
      <c r="E252" s="238"/>
      <c r="F252" s="239"/>
      <c r="G252" s="235"/>
      <c r="H252" s="236"/>
      <c r="I252" s="271"/>
      <c r="J252" s="242"/>
      <c r="K252" s="239"/>
      <c r="L252" s="235"/>
      <c r="M252" s="236" t="s">
        <v>118</v>
      </c>
      <c r="N252" s="241"/>
      <c r="O252" s="236"/>
      <c r="P252" s="239"/>
      <c r="Q252" s="235"/>
      <c r="R252" s="236" t="s">
        <v>118</v>
      </c>
      <c r="S252" s="241"/>
      <c r="T252" s="236"/>
      <c r="U252" s="243"/>
      <c r="V252" s="240"/>
      <c r="W252" s="236" t="s">
        <v>118</v>
      </c>
      <c r="X252" s="271"/>
      <c r="Y252" s="242"/>
      <c r="Z252" s="243"/>
      <c r="AA252" s="240"/>
      <c r="AB252" s="236"/>
      <c r="AC252" s="241"/>
      <c r="AD252" s="236"/>
      <c r="AE252" s="243"/>
      <c r="AF252" s="235"/>
      <c r="AG252" s="236"/>
      <c r="AH252" s="237"/>
      <c r="AI252" s="238"/>
      <c r="AJ252" s="239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</row>
    <row r="253" spans="1:86" s="1" customFormat="1" ht="18" customHeight="1" thickBot="1">
      <c r="A253" s="234"/>
      <c r="B253" s="235"/>
      <c r="C253" s="236"/>
      <c r="D253" s="237"/>
      <c r="E253" s="238"/>
      <c r="F253" s="239"/>
      <c r="G253" s="246"/>
      <c r="H253" s="247"/>
      <c r="I253" s="272"/>
      <c r="J253" s="249"/>
      <c r="K253" s="250"/>
      <c r="L253" s="246"/>
      <c r="M253" s="247" t="s">
        <v>119</v>
      </c>
      <c r="N253" s="248"/>
      <c r="O253" s="247"/>
      <c r="P253" s="250"/>
      <c r="Q253" s="246"/>
      <c r="R253" s="247" t="s">
        <v>119</v>
      </c>
      <c r="S253" s="248"/>
      <c r="T253" s="247"/>
      <c r="U253" s="252"/>
      <c r="V253" s="251"/>
      <c r="W253" s="247" t="s">
        <v>119</v>
      </c>
      <c r="X253" s="272"/>
      <c r="Y253" s="249"/>
      <c r="Z253" s="252"/>
      <c r="AA253" s="251"/>
      <c r="AB253" s="247"/>
      <c r="AC253" s="248"/>
      <c r="AD253" s="247"/>
      <c r="AE253" s="252"/>
      <c r="AF253" s="235"/>
      <c r="AG253" s="236"/>
      <c r="AH253" s="237"/>
      <c r="AI253" s="238"/>
      <c r="AJ253" s="239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</row>
    <row r="254" spans="1:86" s="91" customFormat="1" ht="18" customHeight="1">
      <c r="A254" s="514" t="s">
        <v>69</v>
      </c>
      <c r="B254" s="631" t="s">
        <v>36</v>
      </c>
      <c r="C254" s="632"/>
      <c r="D254" s="219" t="s">
        <v>70</v>
      </c>
      <c r="E254" s="629" t="s">
        <v>71</v>
      </c>
      <c r="F254" s="630"/>
      <c r="G254" s="631" t="s">
        <v>36</v>
      </c>
      <c r="H254" s="632"/>
      <c r="I254" s="219" t="s">
        <v>70</v>
      </c>
      <c r="J254" s="629" t="s">
        <v>71</v>
      </c>
      <c r="K254" s="630"/>
      <c r="L254" s="631" t="s">
        <v>36</v>
      </c>
      <c r="M254" s="632"/>
      <c r="N254" s="219" t="s">
        <v>70</v>
      </c>
      <c r="O254" s="629" t="s">
        <v>71</v>
      </c>
      <c r="P254" s="630"/>
      <c r="Q254" s="631" t="s">
        <v>36</v>
      </c>
      <c r="R254" s="632"/>
      <c r="S254" s="219" t="s">
        <v>70</v>
      </c>
      <c r="T254" s="629" t="s">
        <v>71</v>
      </c>
      <c r="U254" s="630"/>
      <c r="V254" s="631" t="s">
        <v>36</v>
      </c>
      <c r="W254" s="632"/>
      <c r="X254" s="219" t="s">
        <v>70</v>
      </c>
      <c r="Y254" s="629" t="s">
        <v>71</v>
      </c>
      <c r="Z254" s="630"/>
      <c r="AA254" s="631" t="s">
        <v>36</v>
      </c>
      <c r="AB254" s="632"/>
      <c r="AC254" s="219" t="s">
        <v>70</v>
      </c>
      <c r="AD254" s="629" t="s">
        <v>71</v>
      </c>
      <c r="AE254" s="630"/>
      <c r="AF254" s="631" t="s">
        <v>36</v>
      </c>
      <c r="AG254" s="632"/>
      <c r="AH254" s="219" t="s">
        <v>70</v>
      </c>
      <c r="AI254" s="629" t="s">
        <v>71</v>
      </c>
      <c r="AJ254" s="630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</row>
    <row r="255" spans="1:86" s="91" customFormat="1" ht="18" customHeight="1">
      <c r="A255" s="527"/>
      <c r="B255" s="633"/>
      <c r="C255" s="634"/>
      <c r="D255" s="220"/>
      <c r="E255" s="623"/>
      <c r="F255" s="624"/>
      <c r="G255" s="633"/>
      <c r="H255" s="634"/>
      <c r="I255" s="220"/>
      <c r="J255" s="623"/>
      <c r="K255" s="624"/>
      <c r="L255" s="633"/>
      <c r="M255" s="634"/>
      <c r="N255" s="220"/>
      <c r="O255" s="623"/>
      <c r="P255" s="624"/>
      <c r="Q255" s="633"/>
      <c r="R255" s="634"/>
      <c r="S255" s="220"/>
      <c r="T255" s="623"/>
      <c r="U255" s="624"/>
      <c r="V255" s="633"/>
      <c r="W255" s="634"/>
      <c r="X255" s="220"/>
      <c r="Y255" s="623"/>
      <c r="Z255" s="624"/>
      <c r="AA255" s="633"/>
      <c r="AB255" s="634"/>
      <c r="AC255" s="220"/>
      <c r="AD255" s="623"/>
      <c r="AE255" s="624"/>
      <c r="AF255" s="633"/>
      <c r="AG255" s="634"/>
      <c r="AH255" s="220"/>
      <c r="AI255" s="623"/>
      <c r="AJ255" s="624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</row>
    <row r="256" spans="1:86" s="91" customFormat="1" ht="18" customHeight="1">
      <c r="A256" s="527"/>
      <c r="B256" s="625" t="s">
        <v>34</v>
      </c>
      <c r="C256" s="626"/>
      <c r="D256" s="221" t="s">
        <v>72</v>
      </c>
      <c r="E256" s="627" t="s">
        <v>73</v>
      </c>
      <c r="F256" s="628"/>
      <c r="G256" s="625" t="s">
        <v>34</v>
      </c>
      <c r="H256" s="626"/>
      <c r="I256" s="221" t="s">
        <v>72</v>
      </c>
      <c r="J256" s="627" t="s">
        <v>73</v>
      </c>
      <c r="K256" s="628"/>
      <c r="L256" s="625" t="s">
        <v>34</v>
      </c>
      <c r="M256" s="626"/>
      <c r="N256" s="221" t="s">
        <v>72</v>
      </c>
      <c r="O256" s="627" t="s">
        <v>73</v>
      </c>
      <c r="P256" s="628"/>
      <c r="Q256" s="625" t="s">
        <v>34</v>
      </c>
      <c r="R256" s="626"/>
      <c r="S256" s="221" t="s">
        <v>72</v>
      </c>
      <c r="T256" s="627" t="s">
        <v>73</v>
      </c>
      <c r="U256" s="628"/>
      <c r="V256" s="625" t="s">
        <v>34</v>
      </c>
      <c r="W256" s="626"/>
      <c r="X256" s="221" t="s">
        <v>72</v>
      </c>
      <c r="Y256" s="627" t="s">
        <v>73</v>
      </c>
      <c r="Z256" s="628"/>
      <c r="AA256" s="625" t="s">
        <v>34</v>
      </c>
      <c r="AB256" s="626"/>
      <c r="AC256" s="221" t="s">
        <v>72</v>
      </c>
      <c r="AD256" s="627" t="s">
        <v>73</v>
      </c>
      <c r="AE256" s="628"/>
      <c r="AF256" s="625" t="s">
        <v>34</v>
      </c>
      <c r="AG256" s="626"/>
      <c r="AH256" s="221" t="s">
        <v>72</v>
      </c>
      <c r="AI256" s="627" t="s">
        <v>73</v>
      </c>
      <c r="AJ256" s="628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</row>
    <row r="257" spans="1:86" s="91" customFormat="1" ht="18" customHeight="1">
      <c r="A257" s="527"/>
      <c r="B257" s="625"/>
      <c r="C257" s="626"/>
      <c r="D257" s="220"/>
      <c r="E257" s="623"/>
      <c r="F257" s="624"/>
      <c r="G257" s="625"/>
      <c r="H257" s="626"/>
      <c r="I257" s="220"/>
      <c r="J257" s="623"/>
      <c r="K257" s="624"/>
      <c r="L257" s="625"/>
      <c r="M257" s="626"/>
      <c r="N257" s="220"/>
      <c r="O257" s="623"/>
      <c r="P257" s="624"/>
      <c r="Q257" s="625"/>
      <c r="R257" s="626"/>
      <c r="S257" s="220"/>
      <c r="T257" s="623"/>
      <c r="U257" s="624"/>
      <c r="V257" s="625"/>
      <c r="W257" s="626"/>
      <c r="X257" s="220"/>
      <c r="Y257" s="623"/>
      <c r="Z257" s="624"/>
      <c r="AA257" s="625"/>
      <c r="AB257" s="626"/>
      <c r="AC257" s="220"/>
      <c r="AD257" s="623"/>
      <c r="AE257" s="624"/>
      <c r="AF257" s="625"/>
      <c r="AG257" s="626"/>
      <c r="AH257" s="220"/>
      <c r="AI257" s="623"/>
      <c r="AJ257" s="624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</row>
    <row r="258" spans="1:86" s="91" customFormat="1" ht="18" customHeight="1">
      <c r="A258" s="527"/>
      <c r="B258" s="625" t="s">
        <v>74</v>
      </c>
      <c r="C258" s="626"/>
      <c r="D258" s="221" t="s">
        <v>75</v>
      </c>
      <c r="E258" s="627" t="s">
        <v>76</v>
      </c>
      <c r="F258" s="628"/>
      <c r="G258" s="625" t="s">
        <v>74</v>
      </c>
      <c r="H258" s="626"/>
      <c r="I258" s="221" t="s">
        <v>75</v>
      </c>
      <c r="J258" s="627" t="s">
        <v>76</v>
      </c>
      <c r="K258" s="628"/>
      <c r="L258" s="625" t="s">
        <v>74</v>
      </c>
      <c r="M258" s="626"/>
      <c r="N258" s="221" t="s">
        <v>75</v>
      </c>
      <c r="O258" s="627" t="s">
        <v>76</v>
      </c>
      <c r="P258" s="628"/>
      <c r="Q258" s="625" t="s">
        <v>74</v>
      </c>
      <c r="R258" s="626"/>
      <c r="S258" s="221" t="s">
        <v>75</v>
      </c>
      <c r="T258" s="627" t="s">
        <v>76</v>
      </c>
      <c r="U258" s="628"/>
      <c r="V258" s="625" t="s">
        <v>74</v>
      </c>
      <c r="W258" s="626"/>
      <c r="X258" s="221" t="s">
        <v>75</v>
      </c>
      <c r="Y258" s="627" t="s">
        <v>76</v>
      </c>
      <c r="Z258" s="628"/>
      <c r="AA258" s="625" t="s">
        <v>74</v>
      </c>
      <c r="AB258" s="626"/>
      <c r="AC258" s="221" t="s">
        <v>75</v>
      </c>
      <c r="AD258" s="627" t="s">
        <v>76</v>
      </c>
      <c r="AE258" s="628"/>
      <c r="AF258" s="625" t="s">
        <v>74</v>
      </c>
      <c r="AG258" s="626"/>
      <c r="AH258" s="221" t="s">
        <v>75</v>
      </c>
      <c r="AI258" s="627" t="s">
        <v>76</v>
      </c>
      <c r="AJ258" s="62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</row>
    <row r="259" spans="1:86" s="91" customFormat="1" ht="18" customHeight="1" thickBot="1">
      <c r="A259" s="516"/>
      <c r="B259" s="621"/>
      <c r="C259" s="622"/>
      <c r="D259" s="222"/>
      <c r="E259" s="619"/>
      <c r="F259" s="620"/>
      <c r="G259" s="621"/>
      <c r="H259" s="622"/>
      <c r="I259" s="222"/>
      <c r="J259" s="619"/>
      <c r="K259" s="620"/>
      <c r="L259" s="621"/>
      <c r="M259" s="622"/>
      <c r="N259" s="222"/>
      <c r="O259" s="619"/>
      <c r="P259" s="620"/>
      <c r="Q259" s="621"/>
      <c r="R259" s="622"/>
      <c r="S259" s="222"/>
      <c r="T259" s="619"/>
      <c r="U259" s="620"/>
      <c r="V259" s="621"/>
      <c r="W259" s="622"/>
      <c r="X259" s="222"/>
      <c r="Y259" s="619"/>
      <c r="Z259" s="620"/>
      <c r="AA259" s="621"/>
      <c r="AB259" s="622"/>
      <c r="AC259" s="222"/>
      <c r="AD259" s="619"/>
      <c r="AE259" s="620"/>
      <c r="AF259" s="621"/>
      <c r="AG259" s="622"/>
      <c r="AH259" s="222"/>
      <c r="AI259" s="619"/>
      <c r="AJ259" s="620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</row>
    <row r="260" spans="1:86" s="91" customFormat="1" ht="18" customHeight="1">
      <c r="A260" s="603" t="s">
        <v>61</v>
      </c>
      <c r="B260" s="603"/>
      <c r="C260" s="603"/>
      <c r="D260" s="603"/>
      <c r="E260" s="603"/>
      <c r="F260" s="603"/>
      <c r="G260" s="603"/>
      <c r="H260" s="603"/>
      <c r="I260" s="603"/>
      <c r="J260" s="603"/>
      <c r="K260" s="603"/>
      <c r="L260" s="603"/>
      <c r="M260" s="603"/>
      <c r="N260" s="603"/>
      <c r="O260" s="603"/>
      <c r="P260" s="603"/>
      <c r="Q260" s="603"/>
      <c r="R260" s="603"/>
      <c r="S260" s="603"/>
      <c r="T260" s="603"/>
      <c r="U260" s="603"/>
      <c r="V260" s="603"/>
      <c r="W260" s="603"/>
      <c r="X260" s="603"/>
      <c r="Y260" s="603"/>
      <c r="Z260" s="603"/>
      <c r="AA260" s="603"/>
      <c r="AB260" s="603"/>
      <c r="AC260" s="603"/>
      <c r="AD260" s="603"/>
      <c r="AE260" s="603"/>
      <c r="AF260" s="69"/>
      <c r="AG260" s="69"/>
      <c r="AH260" s="69"/>
      <c r="AI260" s="69"/>
      <c r="AJ260" s="69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</row>
    <row r="261" spans="1:86" s="91" customFormat="1" ht="18" customHeight="1">
      <c r="A261" s="604" t="s">
        <v>62</v>
      </c>
      <c r="B261" s="604"/>
      <c r="C261" s="604"/>
      <c r="D261" s="604"/>
      <c r="E261" s="604"/>
      <c r="F261" s="604"/>
      <c r="G261" s="604"/>
      <c r="H261" s="604"/>
      <c r="I261" s="604"/>
      <c r="J261" s="604"/>
      <c r="K261" s="604"/>
      <c r="L261" s="604"/>
      <c r="M261" s="604"/>
      <c r="N261" s="604"/>
      <c r="O261" s="604"/>
      <c r="P261" s="604"/>
      <c r="Q261" s="604"/>
      <c r="R261" s="604"/>
      <c r="S261" s="604"/>
      <c r="T261" s="604"/>
      <c r="U261" s="604"/>
      <c r="V261" s="604"/>
      <c r="W261" s="604"/>
      <c r="X261" s="604"/>
      <c r="Y261" s="604"/>
      <c r="Z261" s="604"/>
      <c r="AA261" s="604"/>
      <c r="AB261" s="604"/>
      <c r="AC261" s="604"/>
      <c r="AD261" s="604"/>
      <c r="AE261" s="604"/>
      <c r="AF261" s="69"/>
      <c r="AG261" s="69"/>
      <c r="AH261" s="69"/>
      <c r="AI261" s="69"/>
      <c r="AJ261" s="69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</row>
    <row r="262" spans="1:86" ht="18.75">
      <c r="A262" s="642" t="s">
        <v>64</v>
      </c>
      <c r="B262" s="642"/>
      <c r="C262" s="642"/>
      <c r="D262" s="642"/>
      <c r="E262" s="642"/>
      <c r="F262" s="642"/>
      <c r="G262" s="642"/>
      <c r="H262" s="642"/>
      <c r="I262" s="642"/>
      <c r="J262" s="642"/>
      <c r="K262" s="642"/>
      <c r="L262" s="642"/>
      <c r="M262" s="642"/>
      <c r="N262" s="642"/>
      <c r="O262" s="642"/>
      <c r="P262" s="642"/>
      <c r="Q262" s="642"/>
      <c r="R262" s="642"/>
      <c r="S262" s="642"/>
      <c r="T262" s="642"/>
      <c r="U262" s="642"/>
      <c r="V262" s="642"/>
      <c r="W262" s="642"/>
      <c r="X262" s="642"/>
      <c r="Y262" s="642"/>
      <c r="Z262" s="642"/>
      <c r="AA262" s="642"/>
      <c r="AB262" s="642"/>
      <c r="AC262" s="642"/>
      <c r="AD262" s="642"/>
      <c r="AE262" s="642"/>
      <c r="AF262" s="642"/>
      <c r="AG262" s="642"/>
      <c r="AH262" s="642"/>
      <c r="AI262" s="642"/>
      <c r="AJ262" s="642"/>
    </row>
    <row r="263" spans="1:86" ht="16.149999999999999" customHeight="1">
      <c r="A263" s="642" t="s">
        <v>63</v>
      </c>
      <c r="B263" s="642"/>
      <c r="C263" s="642"/>
      <c r="D263" s="642"/>
      <c r="E263" s="642"/>
      <c r="F263" s="642"/>
      <c r="G263" s="642"/>
      <c r="H263" s="642"/>
      <c r="I263" s="642"/>
      <c r="J263" s="642"/>
      <c r="K263" s="642"/>
      <c r="L263" s="642"/>
      <c r="M263" s="642"/>
      <c r="N263" s="642"/>
      <c r="O263" s="642"/>
      <c r="P263" s="642"/>
      <c r="Q263" s="642"/>
      <c r="R263" s="642"/>
      <c r="S263" s="642"/>
      <c r="T263" s="642"/>
      <c r="U263" s="642"/>
      <c r="V263" s="642"/>
      <c r="W263" s="642"/>
      <c r="X263" s="642"/>
      <c r="Y263" s="642"/>
      <c r="Z263" s="642"/>
      <c r="AA263" s="642"/>
      <c r="AB263" s="642"/>
      <c r="AC263" s="642"/>
      <c r="AD263" s="642"/>
      <c r="AE263" s="642"/>
      <c r="AF263" s="642"/>
      <c r="AG263" s="642"/>
      <c r="AH263" s="642"/>
      <c r="AI263" s="642"/>
      <c r="AJ263" s="642"/>
    </row>
    <row r="264" spans="1:86">
      <c r="A264" s="638"/>
      <c r="B264" s="638"/>
      <c r="C264" s="638"/>
      <c r="D264" s="638"/>
      <c r="E264" s="638"/>
      <c r="F264" s="638"/>
      <c r="G264" s="638"/>
      <c r="H264" s="638"/>
      <c r="I264" s="638"/>
      <c r="J264" s="638"/>
      <c r="K264" s="638"/>
      <c r="L264" s="638"/>
      <c r="M264" s="638"/>
      <c r="N264" s="638"/>
      <c r="O264" s="638"/>
      <c r="P264" s="638"/>
      <c r="Q264" s="638"/>
      <c r="R264" s="638"/>
      <c r="S264" s="638"/>
      <c r="T264" s="638"/>
      <c r="U264" s="638"/>
      <c r="V264" s="638"/>
      <c r="W264" s="638"/>
      <c r="X264" s="638"/>
      <c r="Y264" s="638"/>
      <c r="Z264" s="638"/>
      <c r="AA264" s="638"/>
      <c r="AB264" s="638"/>
      <c r="AC264" s="638"/>
      <c r="AD264" s="638"/>
      <c r="AE264" s="638"/>
      <c r="AF264" s="638"/>
      <c r="AG264" s="638"/>
      <c r="AH264" s="638"/>
      <c r="AI264" s="638"/>
      <c r="AJ264" s="638"/>
    </row>
    <row r="265" spans="1:86">
      <c r="A265" s="638"/>
      <c r="B265" s="638"/>
      <c r="C265" s="638"/>
      <c r="D265" s="638"/>
      <c r="E265" s="638"/>
      <c r="F265" s="638"/>
      <c r="G265" s="638"/>
      <c r="H265" s="638"/>
      <c r="I265" s="638"/>
      <c r="J265" s="638"/>
      <c r="K265" s="638"/>
      <c r="L265" s="638"/>
      <c r="M265" s="638"/>
      <c r="N265" s="638"/>
      <c r="O265" s="638"/>
      <c r="P265" s="638"/>
      <c r="Q265" s="638"/>
      <c r="R265" s="638"/>
      <c r="S265" s="638"/>
      <c r="T265" s="638"/>
      <c r="U265" s="638"/>
      <c r="V265" s="638"/>
      <c r="W265" s="638"/>
      <c r="X265" s="638"/>
      <c r="Y265" s="638"/>
      <c r="Z265" s="638"/>
      <c r="AA265" s="638"/>
      <c r="AB265" s="638"/>
      <c r="AC265" s="638"/>
      <c r="AD265" s="638"/>
      <c r="AE265" s="638"/>
      <c r="AF265" s="638"/>
      <c r="AG265" s="638"/>
      <c r="AH265" s="638"/>
      <c r="AI265" s="638"/>
      <c r="AJ265" s="638"/>
    </row>
    <row r="266" spans="1:86">
      <c r="I266" s="7" t="s">
        <v>77</v>
      </c>
      <c r="J266" s="7">
        <v>590</v>
      </c>
      <c r="N266" s="7" t="s">
        <v>77</v>
      </c>
      <c r="O266" s="7">
        <v>590</v>
      </c>
      <c r="S266" s="7" t="s">
        <v>77</v>
      </c>
      <c r="T266" s="7">
        <v>590</v>
      </c>
      <c r="X266" s="7" t="s">
        <v>77</v>
      </c>
      <c r="Y266" s="7">
        <v>590</v>
      </c>
      <c r="AC266" s="7" t="s">
        <v>77</v>
      </c>
      <c r="AD266" s="7">
        <f>590-20</f>
        <v>570</v>
      </c>
      <c r="AH266" s="7" t="s">
        <v>77</v>
      </c>
      <c r="AI266" s="7">
        <v>863</v>
      </c>
    </row>
    <row r="267" spans="1:86">
      <c r="I267" s="7" t="s">
        <v>84</v>
      </c>
      <c r="J267" s="7">
        <v>1287</v>
      </c>
      <c r="N267" s="7" t="s">
        <v>84</v>
      </c>
      <c r="O267" s="7">
        <f>1287-28</f>
        <v>1259</v>
      </c>
      <c r="S267" s="7" t="s">
        <v>84</v>
      </c>
      <c r="T267" s="7">
        <f>1287-103</f>
        <v>1184</v>
      </c>
      <c r="X267" s="7" t="s">
        <v>84</v>
      </c>
      <c r="Y267" s="7">
        <v>1287</v>
      </c>
      <c r="AC267" s="7" t="s">
        <v>84</v>
      </c>
      <c r="AD267" s="7">
        <f>1287-93</f>
        <v>1194</v>
      </c>
      <c r="AH267" s="7" t="s">
        <v>79</v>
      </c>
      <c r="AI267" s="7">
        <v>1287</v>
      </c>
    </row>
    <row r="268" spans="1:86">
      <c r="I268" s="7" t="s">
        <v>85</v>
      </c>
      <c r="J268" s="7">
        <v>35</v>
      </c>
      <c r="N268" s="7" t="s">
        <v>85</v>
      </c>
      <c r="O268" s="7">
        <v>35</v>
      </c>
      <c r="S268" s="7" t="s">
        <v>85</v>
      </c>
      <c r="T268" s="7">
        <v>35</v>
      </c>
      <c r="X268" s="7" t="s">
        <v>85</v>
      </c>
      <c r="Y268" s="7">
        <v>35</v>
      </c>
      <c r="AC268" s="7" t="s">
        <v>85</v>
      </c>
      <c r="AD268" s="7">
        <v>35</v>
      </c>
      <c r="AH268" s="7" t="s">
        <v>85</v>
      </c>
      <c r="AI268" s="7">
        <v>35</v>
      </c>
    </row>
    <row r="271" spans="1:86">
      <c r="Q271"/>
      <c r="R271"/>
      <c r="S271"/>
      <c r="T271"/>
      <c r="U271"/>
    </row>
    <row r="272" spans="1:86">
      <c r="Q272"/>
      <c r="R272"/>
      <c r="S272"/>
      <c r="T272"/>
      <c r="U272"/>
    </row>
    <row r="273" spans="17:21">
      <c r="Q273"/>
      <c r="R273"/>
      <c r="S273"/>
      <c r="T273"/>
      <c r="U273"/>
    </row>
    <row r="274" spans="17:21">
      <c r="Q274"/>
      <c r="R274"/>
      <c r="S274"/>
      <c r="T274"/>
      <c r="U274"/>
    </row>
    <row r="275" spans="17:21">
      <c r="Q275"/>
      <c r="R275"/>
      <c r="S275"/>
      <c r="T275"/>
      <c r="U275"/>
    </row>
    <row r="276" spans="17:21">
      <c r="Q276"/>
      <c r="R276"/>
      <c r="S276"/>
      <c r="T276"/>
      <c r="U276"/>
    </row>
    <row r="277" spans="17:21">
      <c r="Q277"/>
      <c r="R277"/>
      <c r="S277"/>
      <c r="T277"/>
      <c r="U277"/>
    </row>
  </sheetData>
  <mergeCells count="244">
    <mergeCell ref="G109:G123"/>
    <mergeCell ref="L109:L123"/>
    <mergeCell ref="Q109:Q123"/>
    <mergeCell ref="A199:A213"/>
    <mergeCell ref="B199:B213"/>
    <mergeCell ref="G199:G213"/>
    <mergeCell ref="L199:L213"/>
    <mergeCell ref="Q199:Q213"/>
    <mergeCell ref="V199:V213"/>
    <mergeCell ref="A184:A198"/>
    <mergeCell ref="B184:B198"/>
    <mergeCell ref="G184:G198"/>
    <mergeCell ref="L184:L198"/>
    <mergeCell ref="V184:V198"/>
    <mergeCell ref="A154:A168"/>
    <mergeCell ref="B154:B168"/>
    <mergeCell ref="G154:G168"/>
    <mergeCell ref="L154:L168"/>
    <mergeCell ref="Q154:Q168"/>
    <mergeCell ref="V154:V168"/>
    <mergeCell ref="Q184:Q198"/>
    <mergeCell ref="A139:A153"/>
    <mergeCell ref="B139:B153"/>
    <mergeCell ref="G139:G153"/>
    <mergeCell ref="A265:AJ265"/>
    <mergeCell ref="A262:AJ262"/>
    <mergeCell ref="A263:AJ263"/>
    <mergeCell ref="A214:A233"/>
    <mergeCell ref="B233:C233"/>
    <mergeCell ref="D233:E233"/>
    <mergeCell ref="G258:H258"/>
    <mergeCell ref="E254:F254"/>
    <mergeCell ref="G254:H254"/>
    <mergeCell ref="V257:W257"/>
    <mergeCell ref="AA257:AB257"/>
    <mergeCell ref="AF257:AG257"/>
    <mergeCell ref="I233:J233"/>
    <mergeCell ref="S233:T233"/>
    <mergeCell ref="X233:Y233"/>
    <mergeCell ref="A254:A259"/>
    <mergeCell ref="B254:C254"/>
    <mergeCell ref="T255:U255"/>
    <mergeCell ref="J254:K254"/>
    <mergeCell ref="L254:M254"/>
    <mergeCell ref="O256:P256"/>
    <mergeCell ref="Q256:R256"/>
    <mergeCell ref="AD255:AE255"/>
    <mergeCell ref="AF255:AG255"/>
    <mergeCell ref="L139:L153"/>
    <mergeCell ref="Q139:Q153"/>
    <mergeCell ref="AI254:AJ254"/>
    <mergeCell ref="Y255:Z255"/>
    <mergeCell ref="AA255:AB255"/>
    <mergeCell ref="G233:H233"/>
    <mergeCell ref="L233:M233"/>
    <mergeCell ref="N233:O233"/>
    <mergeCell ref="Q233:R233"/>
    <mergeCell ref="V139:V153"/>
    <mergeCell ref="AA139:AA153"/>
    <mergeCell ref="AF139:AF153"/>
    <mergeCell ref="V233:W233"/>
    <mergeCell ref="AH233:AI233"/>
    <mergeCell ref="AH249:AI249"/>
    <mergeCell ref="AA199:AA213"/>
    <mergeCell ref="AF199:AF213"/>
    <mergeCell ref="AA184:AA198"/>
    <mergeCell ref="AF184:AF198"/>
    <mergeCell ref="V249:W249"/>
    <mergeCell ref="X249:Y249"/>
    <mergeCell ref="AA249:AB249"/>
    <mergeCell ref="AC249:AD249"/>
    <mergeCell ref="AF249:AG249"/>
    <mergeCell ref="A49:A63"/>
    <mergeCell ref="B49:B63"/>
    <mergeCell ref="A1:AJ1"/>
    <mergeCell ref="A264:AJ264"/>
    <mergeCell ref="A124:A138"/>
    <mergeCell ref="B124:B138"/>
    <mergeCell ref="G124:G138"/>
    <mergeCell ref="L124:L138"/>
    <mergeCell ref="Q124:Q138"/>
    <mergeCell ref="V124:V138"/>
    <mergeCell ref="AA94:AA10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F94:AF108"/>
    <mergeCell ref="A109:A123"/>
    <mergeCell ref="B109:B123"/>
    <mergeCell ref="V109:V123"/>
    <mergeCell ref="M49:P52"/>
    <mergeCell ref="A34:A48"/>
    <mergeCell ref="B34:B48"/>
    <mergeCell ref="G34:G48"/>
    <mergeCell ref="L34:L48"/>
    <mergeCell ref="Q34:Q48"/>
    <mergeCell ref="V34:V48"/>
    <mergeCell ref="A19:A33"/>
    <mergeCell ref="B19:B33"/>
    <mergeCell ref="A94:A108"/>
    <mergeCell ref="B94:B108"/>
    <mergeCell ref="G94:G108"/>
    <mergeCell ref="L94:L108"/>
    <mergeCell ref="Q94:Q108"/>
    <mergeCell ref="V94:V108"/>
    <mergeCell ref="A79:A93"/>
    <mergeCell ref="B79:B93"/>
    <mergeCell ref="G79:G93"/>
    <mergeCell ref="L79:L93"/>
    <mergeCell ref="Q79:Q93"/>
    <mergeCell ref="V79:V93"/>
    <mergeCell ref="A64:A78"/>
    <mergeCell ref="B64:B78"/>
    <mergeCell ref="G64:G78"/>
    <mergeCell ref="L64:L78"/>
    <mergeCell ref="A4:A18"/>
    <mergeCell ref="B4:B18"/>
    <mergeCell ref="G4:G18"/>
    <mergeCell ref="L4:L18"/>
    <mergeCell ref="Q4:Q18"/>
    <mergeCell ref="V4:V18"/>
    <mergeCell ref="A2:A3"/>
    <mergeCell ref="B2:C2"/>
    <mergeCell ref="G2:H2"/>
    <mergeCell ref="L2:M2"/>
    <mergeCell ref="Q2:R2"/>
    <mergeCell ref="V2:W2"/>
    <mergeCell ref="G19:G33"/>
    <mergeCell ref="L19:L33"/>
    <mergeCell ref="Q19:Q33"/>
    <mergeCell ref="V19:V33"/>
    <mergeCell ref="AA19:AA33"/>
    <mergeCell ref="AF19:AF33"/>
    <mergeCell ref="AA34:AA48"/>
    <mergeCell ref="AF34:AF48"/>
    <mergeCell ref="AF64:AF78"/>
    <mergeCell ref="G49:G63"/>
    <mergeCell ref="L49:L63"/>
    <mergeCell ref="Q49:Q63"/>
    <mergeCell ref="V49:V63"/>
    <mergeCell ref="AA49:AA63"/>
    <mergeCell ref="AF49:AF63"/>
    <mergeCell ref="AA64:AA78"/>
    <mergeCell ref="Q64:Q78"/>
    <mergeCell ref="V64:V78"/>
    <mergeCell ref="AA2:AB2"/>
    <mergeCell ref="AF2:AG2"/>
    <mergeCell ref="AA4:AA18"/>
    <mergeCell ref="AF4:AF18"/>
    <mergeCell ref="AA109:AA123"/>
    <mergeCell ref="AF109:AF123"/>
    <mergeCell ref="AB49:AE52"/>
    <mergeCell ref="AA233:AB233"/>
    <mergeCell ref="AA169:AA183"/>
    <mergeCell ref="AF169:AF183"/>
    <mergeCell ref="AF79:AF93"/>
    <mergeCell ref="AA79:AA93"/>
    <mergeCell ref="AC233:AD233"/>
    <mergeCell ref="AF233:AG233"/>
    <mergeCell ref="AA124:AA138"/>
    <mergeCell ref="AF124:AF138"/>
    <mergeCell ref="A234:A249"/>
    <mergeCell ref="B249:C249"/>
    <mergeCell ref="D249:E249"/>
    <mergeCell ref="G249:H249"/>
    <mergeCell ref="I249:J249"/>
    <mergeCell ref="L249:M249"/>
    <mergeCell ref="N249:O249"/>
    <mergeCell ref="Q249:R249"/>
    <mergeCell ref="S249:T249"/>
    <mergeCell ref="B255:C255"/>
    <mergeCell ref="E255:F255"/>
    <mergeCell ref="G255:H255"/>
    <mergeCell ref="J255:K255"/>
    <mergeCell ref="L255:M255"/>
    <mergeCell ref="B256:C256"/>
    <mergeCell ref="E256:F256"/>
    <mergeCell ref="G256:H256"/>
    <mergeCell ref="J256:K256"/>
    <mergeCell ref="L256:M256"/>
    <mergeCell ref="AI255:AJ255"/>
    <mergeCell ref="Y256:Z256"/>
    <mergeCell ref="AA256:AB256"/>
    <mergeCell ref="AD256:AE256"/>
    <mergeCell ref="AF256:AG256"/>
    <mergeCell ref="AI256:AJ256"/>
    <mergeCell ref="O254:P254"/>
    <mergeCell ref="Q254:R254"/>
    <mergeCell ref="T254:U254"/>
    <mergeCell ref="O255:P255"/>
    <mergeCell ref="Q255:R255"/>
    <mergeCell ref="T256:U256"/>
    <mergeCell ref="V256:W256"/>
    <mergeCell ref="V254:W254"/>
    <mergeCell ref="Y254:Z254"/>
    <mergeCell ref="AA254:AB254"/>
    <mergeCell ref="AD254:AE254"/>
    <mergeCell ref="AF254:AG254"/>
    <mergeCell ref="V255:W255"/>
    <mergeCell ref="Y257:Z257"/>
    <mergeCell ref="AD257:AE257"/>
    <mergeCell ref="AI257:AJ257"/>
    <mergeCell ref="B258:C258"/>
    <mergeCell ref="J258:K258"/>
    <mergeCell ref="L258:M258"/>
    <mergeCell ref="O258:P258"/>
    <mergeCell ref="Q258:R258"/>
    <mergeCell ref="T258:U258"/>
    <mergeCell ref="V258:W258"/>
    <mergeCell ref="Y258:Z258"/>
    <mergeCell ref="AA258:AB258"/>
    <mergeCell ref="AD258:AE258"/>
    <mergeCell ref="AF258:AG258"/>
    <mergeCell ref="AI258:AJ258"/>
    <mergeCell ref="E257:F257"/>
    <mergeCell ref="J257:K257"/>
    <mergeCell ref="O257:P257"/>
    <mergeCell ref="Q257:R257"/>
    <mergeCell ref="T257:U257"/>
    <mergeCell ref="G257:H257"/>
    <mergeCell ref="L257:M257"/>
    <mergeCell ref="B257:C257"/>
    <mergeCell ref="E258:F258"/>
    <mergeCell ref="AD259:AE259"/>
    <mergeCell ref="AF259:AG259"/>
    <mergeCell ref="AI259:AJ259"/>
    <mergeCell ref="A260:AE260"/>
    <mergeCell ref="A261:AE261"/>
    <mergeCell ref="G259:H259"/>
    <mergeCell ref="J259:K259"/>
    <mergeCell ref="L259:M259"/>
    <mergeCell ref="O259:P259"/>
    <mergeCell ref="Q259:R259"/>
    <mergeCell ref="T259:U259"/>
    <mergeCell ref="V259:W259"/>
    <mergeCell ref="Y259:Z259"/>
    <mergeCell ref="AA259:AB259"/>
    <mergeCell ref="B259:C259"/>
    <mergeCell ref="E259:F259"/>
  </mergeCells>
  <phoneticPr fontId="16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H291"/>
  <sheetViews>
    <sheetView showZeros="0" zoomScale="80" zoomScaleNormal="80" workbookViewId="0">
      <pane ySplit="3" topLeftCell="A4" activePane="bottomLeft" state="frozen"/>
      <selection activeCell="W187" sqref="W187"/>
      <selection pane="bottomLeft" activeCell="AC96" sqref="AC96"/>
    </sheetView>
  </sheetViews>
  <sheetFormatPr defaultColWidth="9" defaultRowHeight="16.5"/>
  <cols>
    <col min="1" max="1" width="3.625" style="7" customWidth="1"/>
    <col min="2" max="2" width="5.625" style="7" hidden="1" customWidth="1"/>
    <col min="3" max="6" width="7.625" style="7" hidden="1" customWidth="1"/>
    <col min="7" max="7" width="5.625" style="7" customWidth="1"/>
    <col min="8" max="8" width="14.75" style="7" customWidth="1"/>
    <col min="9" max="11" width="7.625" style="7" customWidth="1"/>
    <col min="12" max="12" width="5.625" style="7" customWidth="1"/>
    <col min="13" max="13" width="14.75" style="7" customWidth="1"/>
    <col min="14" max="14" width="9.125" style="7" customWidth="1"/>
    <col min="15" max="16" width="7.625" style="7" customWidth="1"/>
    <col min="17" max="17" width="5.625" style="7" customWidth="1"/>
    <col min="18" max="18" width="14.75" style="7" customWidth="1"/>
    <col min="19" max="21" width="7.625" style="7" customWidth="1"/>
    <col min="22" max="22" width="5.625" style="7" customWidth="1"/>
    <col min="23" max="23" width="14.75" style="7" customWidth="1"/>
    <col min="24" max="24" width="9.625" style="7" customWidth="1"/>
    <col min="25" max="26" width="7.625" style="7" customWidth="1"/>
    <col min="27" max="27" width="5.625" style="7" customWidth="1"/>
    <col min="28" max="28" width="14.75" style="184" customWidth="1"/>
    <col min="29" max="29" width="10.125" style="7" customWidth="1"/>
    <col min="30" max="31" width="7.625" style="7" customWidth="1"/>
    <col min="32" max="32" width="5.625" style="2" hidden="1" customWidth="1"/>
    <col min="33" max="36" width="7.625" style="2" hidden="1" customWidth="1"/>
    <col min="37" max="37" width="9" style="2" customWidth="1"/>
    <col min="38" max="38" width="4.5" customWidth="1"/>
    <col min="39" max="39" width="8.625" customWidth="1"/>
    <col min="40" max="43" width="4" customWidth="1"/>
    <col min="44" max="45" width="4" style="224" customWidth="1"/>
    <col min="46" max="46" width="4.5" style="224" customWidth="1"/>
    <col min="47" max="47" width="8.625" style="224" customWidth="1"/>
    <col min="48" max="53" width="4" style="224" customWidth="1"/>
    <col min="54" max="54" width="4.5" style="224" customWidth="1"/>
    <col min="55" max="55" width="8.625" style="224" customWidth="1"/>
    <col min="56" max="61" width="4" style="224" customWidth="1"/>
    <col min="62" max="62" width="4.5" style="224" customWidth="1"/>
    <col min="63" max="63" width="8.625" style="224" customWidth="1"/>
    <col min="64" max="69" width="4" style="224" customWidth="1"/>
    <col min="70" max="70" width="4.5" style="224" customWidth="1"/>
    <col min="71" max="71" width="8.625" style="224" customWidth="1"/>
    <col min="72" max="77" width="4" style="224" customWidth="1"/>
    <col min="78" max="78" width="4.5" style="224" customWidth="1"/>
    <col min="79" max="79" width="8.625" style="224" customWidth="1"/>
    <col min="80" max="85" width="4" style="224" customWidth="1"/>
    <col min="86" max="86" width="9" style="224"/>
    <col min="87" max="16384" width="9" style="2"/>
  </cols>
  <sheetData>
    <row r="1" spans="1:86" s="1" customFormat="1" ht="26.25" customHeight="1" thickBot="1">
      <c r="A1" s="602" t="str">
        <f>菜單總表!A2&amp;+LEFT(菜單總表!A3,FIND("餐",菜單總表!A3)-3)&amp;+"第3週午餐菜單"</f>
        <v>基隆市安樂高中、長樂安樂港西國小113 年 6 月 份 第3週午餐菜單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91"/>
      <c r="AL1"/>
      <c r="AM1"/>
      <c r="AN1"/>
      <c r="AO1"/>
      <c r="AP1"/>
      <c r="AQ1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</row>
    <row r="2" spans="1:86" s="1" customFormat="1" ht="18" customHeight="1">
      <c r="A2" s="558"/>
      <c r="B2" s="531">
        <v>44290</v>
      </c>
      <c r="C2" s="532"/>
      <c r="D2" s="10" t="s">
        <v>26</v>
      </c>
      <c r="E2" s="25"/>
      <c r="F2" s="28" t="s">
        <v>12</v>
      </c>
      <c r="G2" s="531">
        <f>DATE(YEAR(第二週!AA2),MONTH(第二週!AA2),DAY(第二週!AA2)+3)</f>
        <v>45460</v>
      </c>
      <c r="H2" s="532"/>
      <c r="I2" s="8" t="s">
        <v>11</v>
      </c>
      <c r="J2" s="114">
        <f>1900</f>
        <v>1900</v>
      </c>
      <c r="K2" s="28" t="s">
        <v>12</v>
      </c>
      <c r="L2" s="531">
        <f>DATE(YEAR(G2),MONTH(G2),DAY(G2)+1)</f>
        <v>45461</v>
      </c>
      <c r="M2" s="532"/>
      <c r="N2" s="10" t="s">
        <v>13</v>
      </c>
      <c r="O2" s="114">
        <f>1900-142</f>
        <v>1758</v>
      </c>
      <c r="P2" s="28" t="s">
        <v>12</v>
      </c>
      <c r="Q2" s="531">
        <f>DATE(YEAR(L2),MONTH(L2),DAY(L2)+1)</f>
        <v>45462</v>
      </c>
      <c r="R2" s="532"/>
      <c r="S2" s="10" t="s">
        <v>14</v>
      </c>
      <c r="T2" s="114">
        <f>1900-142</f>
        <v>1758</v>
      </c>
      <c r="U2" s="28" t="s">
        <v>12</v>
      </c>
      <c r="V2" s="531">
        <f>DATE(YEAR(Q2),MONTH(Q2),DAY(Q2)+1)</f>
        <v>45463</v>
      </c>
      <c r="W2" s="532"/>
      <c r="X2" s="10" t="s">
        <v>15</v>
      </c>
      <c r="Y2" s="114">
        <f>1900-142-13</f>
        <v>1745</v>
      </c>
      <c r="Z2" s="28" t="s">
        <v>12</v>
      </c>
      <c r="AA2" s="531">
        <f>DATE(YEAR(V2),MONTH(V2),DAY(V2)+1)</f>
        <v>45464</v>
      </c>
      <c r="AB2" s="532"/>
      <c r="AC2" s="10" t="s">
        <v>16</v>
      </c>
      <c r="AD2" s="114">
        <f>1900-142-13</f>
        <v>1745</v>
      </c>
      <c r="AE2" s="28" t="s">
        <v>12</v>
      </c>
      <c r="AF2" s="531"/>
      <c r="AG2" s="532"/>
      <c r="AH2" s="10" t="s">
        <v>17</v>
      </c>
      <c r="AI2" s="25"/>
      <c r="AJ2" s="28" t="s">
        <v>12</v>
      </c>
      <c r="AK2" s="91"/>
      <c r="AL2"/>
      <c r="AM2"/>
      <c r="AN2"/>
      <c r="AO2"/>
      <c r="AP2"/>
      <c r="AQ2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</row>
    <row r="3" spans="1:86" s="1" customFormat="1" ht="18" customHeight="1" thickBot="1">
      <c r="A3" s="559"/>
      <c r="B3" s="29" t="s">
        <v>18</v>
      </c>
      <c r="C3" s="64" t="s">
        <v>19</v>
      </c>
      <c r="D3" s="64" t="s">
        <v>20</v>
      </c>
      <c r="E3" s="31" t="s">
        <v>4</v>
      </c>
      <c r="F3" s="32" t="s">
        <v>3</v>
      </c>
      <c r="G3" s="29" t="s">
        <v>18</v>
      </c>
      <c r="H3" s="26" t="s">
        <v>19</v>
      </c>
      <c r="I3" s="26" t="s">
        <v>20</v>
      </c>
      <c r="J3" s="26" t="s">
        <v>4</v>
      </c>
      <c r="K3" s="30" t="s">
        <v>3</v>
      </c>
      <c r="L3" s="29" t="s">
        <v>18</v>
      </c>
      <c r="M3" s="31" t="s">
        <v>19</v>
      </c>
      <c r="N3" s="31" t="s">
        <v>20</v>
      </c>
      <c r="O3" s="31" t="s">
        <v>4</v>
      </c>
      <c r="P3" s="32" t="s">
        <v>3</v>
      </c>
      <c r="Q3" s="29" t="s">
        <v>18</v>
      </c>
      <c r="R3" s="31" t="s">
        <v>19</v>
      </c>
      <c r="S3" s="31" t="s">
        <v>20</v>
      </c>
      <c r="T3" s="31" t="s">
        <v>4</v>
      </c>
      <c r="U3" s="32" t="s">
        <v>3</v>
      </c>
      <c r="V3" s="29" t="s">
        <v>18</v>
      </c>
      <c r="W3" s="31" t="s">
        <v>19</v>
      </c>
      <c r="X3" s="31" t="s">
        <v>20</v>
      </c>
      <c r="Y3" s="31" t="s">
        <v>4</v>
      </c>
      <c r="Z3" s="32" t="s">
        <v>3</v>
      </c>
      <c r="AA3" s="29" t="s">
        <v>18</v>
      </c>
      <c r="AB3" s="118" t="s">
        <v>19</v>
      </c>
      <c r="AC3" s="31" t="s">
        <v>20</v>
      </c>
      <c r="AD3" s="31" t="s">
        <v>4</v>
      </c>
      <c r="AE3" s="32" t="s">
        <v>3</v>
      </c>
      <c r="AF3" s="29" t="s">
        <v>18</v>
      </c>
      <c r="AG3" s="31" t="s">
        <v>19</v>
      </c>
      <c r="AH3" s="31" t="s">
        <v>20</v>
      </c>
      <c r="AI3" s="31" t="s">
        <v>4</v>
      </c>
      <c r="AJ3" s="32" t="s">
        <v>3</v>
      </c>
      <c r="AK3" s="91"/>
      <c r="AL3"/>
      <c r="AM3"/>
      <c r="AN3"/>
      <c r="AO3"/>
      <c r="AP3"/>
      <c r="AQ3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</row>
    <row r="4" spans="1:86" s="1" customFormat="1" ht="18" customHeight="1">
      <c r="A4" s="551" t="s">
        <v>33</v>
      </c>
      <c r="B4" s="536"/>
      <c r="C4" s="36"/>
      <c r="D4" s="37"/>
      <c r="E4" s="38"/>
      <c r="F4" s="39"/>
      <c r="G4" s="533" t="s">
        <v>150</v>
      </c>
      <c r="H4" s="320" t="s">
        <v>151</v>
      </c>
      <c r="I4" s="9"/>
      <c r="J4" s="33">
        <f>ROUND(80*J$2/1000,0)</f>
        <v>152</v>
      </c>
      <c r="K4" s="34" t="s">
        <v>0</v>
      </c>
      <c r="L4" s="533" t="s">
        <v>150</v>
      </c>
      <c r="M4" s="320" t="s">
        <v>151</v>
      </c>
      <c r="N4" s="9"/>
      <c r="O4" s="33">
        <f>ROUND(80*O$2/1000,0)</f>
        <v>141</v>
      </c>
      <c r="P4" s="34" t="s">
        <v>0</v>
      </c>
      <c r="Q4" s="533" t="s">
        <v>147</v>
      </c>
      <c r="R4" s="93" t="s">
        <v>147</v>
      </c>
      <c r="S4" s="9"/>
      <c r="T4" s="273">
        <f>ROUND(97.5*T$2/1000,0)</f>
        <v>171</v>
      </c>
      <c r="U4" s="223" t="s">
        <v>0</v>
      </c>
      <c r="V4" s="555" t="s">
        <v>176</v>
      </c>
      <c r="W4" s="93" t="s">
        <v>151</v>
      </c>
      <c r="X4" s="9"/>
      <c r="Y4" s="33">
        <f>ROUND(74*Y2/1000,0)</f>
        <v>129</v>
      </c>
      <c r="Z4" s="34" t="s">
        <v>0</v>
      </c>
      <c r="AA4" s="533" t="s">
        <v>150</v>
      </c>
      <c r="AB4" s="93" t="s">
        <v>151</v>
      </c>
      <c r="AC4" s="9"/>
      <c r="AD4" s="33">
        <f>ROUND(80*AD2/1000,0)</f>
        <v>140</v>
      </c>
      <c r="AE4" s="34" t="s">
        <v>0</v>
      </c>
      <c r="AF4" s="536"/>
      <c r="AG4" s="36"/>
      <c r="AH4" s="37"/>
      <c r="AI4" s="38"/>
      <c r="AJ4" s="39"/>
      <c r="AK4" s="91"/>
      <c r="AL4"/>
      <c r="AM4"/>
      <c r="AN4"/>
      <c r="AO4"/>
      <c r="AP4"/>
      <c r="AQ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</row>
    <row r="5" spans="1:86" s="1" customFormat="1" ht="18" customHeight="1" thickBot="1">
      <c r="A5" s="537"/>
      <c r="B5" s="537"/>
      <c r="C5" s="42"/>
      <c r="D5" s="7"/>
      <c r="E5" s="43"/>
      <c r="F5" s="44"/>
      <c r="G5" s="534"/>
      <c r="H5" s="322"/>
      <c r="I5" s="14"/>
      <c r="J5" s="40" t="s">
        <v>152</v>
      </c>
      <c r="K5" s="41" t="s">
        <v>0</v>
      </c>
      <c r="L5" s="534"/>
      <c r="M5" s="322"/>
      <c r="N5" s="14"/>
      <c r="O5" s="40" t="s">
        <v>152</v>
      </c>
      <c r="P5" s="41" t="s">
        <v>0</v>
      </c>
      <c r="Q5" s="534"/>
      <c r="R5" s="94"/>
      <c r="S5" s="14"/>
      <c r="T5" s="274"/>
      <c r="U5" s="270" t="s">
        <v>0</v>
      </c>
      <c r="V5" s="556"/>
      <c r="W5" s="94" t="s">
        <v>177</v>
      </c>
      <c r="X5" s="14" t="s">
        <v>96</v>
      </c>
      <c r="Y5" s="40">
        <f>ROUND(6*Y2/1000,0)</f>
        <v>10</v>
      </c>
      <c r="Z5" s="41" t="s">
        <v>0</v>
      </c>
      <c r="AA5" s="534"/>
      <c r="AB5" s="94"/>
      <c r="AC5" s="14"/>
      <c r="AD5" s="40" t="s">
        <v>152</v>
      </c>
      <c r="AE5" s="41" t="s">
        <v>0</v>
      </c>
      <c r="AF5" s="537"/>
      <c r="AG5" s="42"/>
      <c r="AH5" s="7"/>
      <c r="AI5" s="43"/>
      <c r="AJ5" s="44"/>
      <c r="AK5" s="91"/>
      <c r="AL5"/>
      <c r="AM5"/>
      <c r="AN5"/>
      <c r="AO5"/>
      <c r="AP5"/>
      <c r="AQ5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</row>
    <row r="6" spans="1:86" s="1" customFormat="1" ht="18" hidden="1" customHeight="1" thickBot="1">
      <c r="A6" s="537"/>
      <c r="B6" s="537"/>
      <c r="C6" s="42"/>
      <c r="D6" s="7"/>
      <c r="E6" s="43"/>
      <c r="F6" s="44"/>
      <c r="G6" s="534"/>
      <c r="H6" s="208"/>
      <c r="I6" s="13"/>
      <c r="J6" s="45"/>
      <c r="K6" s="13"/>
      <c r="L6" s="534"/>
      <c r="M6" s="208"/>
      <c r="N6" s="13"/>
      <c r="O6" s="45"/>
      <c r="P6" s="13"/>
      <c r="Q6" s="534"/>
      <c r="R6" s="95"/>
      <c r="S6" s="13"/>
      <c r="T6" s="275"/>
      <c r="U6" s="280"/>
      <c r="V6" s="556"/>
      <c r="W6" s="95"/>
      <c r="X6" s="13"/>
      <c r="Y6" s="45"/>
      <c r="Z6" s="46"/>
      <c r="AA6" s="534"/>
      <c r="AB6" s="95"/>
      <c r="AC6" s="13"/>
      <c r="AD6" s="45"/>
      <c r="AE6" s="13"/>
      <c r="AF6" s="537"/>
      <c r="AG6" s="42"/>
      <c r="AH6" s="7"/>
      <c r="AI6" s="43"/>
      <c r="AJ6" s="44"/>
      <c r="AK6" s="91"/>
      <c r="AL6"/>
      <c r="AM6"/>
      <c r="AN6"/>
      <c r="AO6"/>
      <c r="AP6"/>
      <c r="AQ6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</row>
    <row r="7" spans="1:86" s="1" customFormat="1" ht="18" hidden="1" customHeight="1">
      <c r="A7" s="537"/>
      <c r="B7" s="537"/>
      <c r="C7" s="42"/>
      <c r="D7" s="7"/>
      <c r="E7" s="43"/>
      <c r="F7" s="44"/>
      <c r="G7" s="534"/>
      <c r="H7" s="208"/>
      <c r="I7" s="13"/>
      <c r="J7" s="45"/>
      <c r="K7" s="13"/>
      <c r="L7" s="534"/>
      <c r="M7" s="208"/>
      <c r="N7" s="13"/>
      <c r="O7" s="45"/>
      <c r="P7" s="13"/>
      <c r="Q7" s="534"/>
      <c r="R7" s="95"/>
      <c r="S7" s="13"/>
      <c r="T7" s="275"/>
      <c r="U7" s="280"/>
      <c r="V7" s="556"/>
      <c r="W7" s="95"/>
      <c r="X7" s="13"/>
      <c r="Y7" s="45"/>
      <c r="Z7" s="46"/>
      <c r="AA7" s="534"/>
      <c r="AB7" s="95"/>
      <c r="AC7" s="13"/>
      <c r="AD7" s="45"/>
      <c r="AE7" s="13"/>
      <c r="AF7" s="537"/>
      <c r="AG7" s="42"/>
      <c r="AH7" s="7"/>
      <c r="AI7" s="43"/>
      <c r="AJ7" s="44"/>
      <c r="AK7" s="91"/>
      <c r="AL7"/>
      <c r="AM7"/>
      <c r="AN7"/>
      <c r="AO7"/>
      <c r="AP7"/>
      <c r="AQ7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</row>
    <row r="8" spans="1:86" s="1" customFormat="1" ht="18" hidden="1" customHeight="1">
      <c r="A8" s="537"/>
      <c r="B8" s="537"/>
      <c r="C8" s="42"/>
      <c r="D8" s="7"/>
      <c r="E8" s="43"/>
      <c r="F8" s="44"/>
      <c r="G8" s="534"/>
      <c r="H8" s="208"/>
      <c r="I8" s="13"/>
      <c r="J8" s="45"/>
      <c r="K8" s="13"/>
      <c r="L8" s="534"/>
      <c r="M8" s="208"/>
      <c r="N8" s="13"/>
      <c r="O8" s="45"/>
      <c r="P8" s="13"/>
      <c r="Q8" s="534"/>
      <c r="R8" s="95"/>
      <c r="S8" s="13"/>
      <c r="T8" s="275"/>
      <c r="U8" s="280"/>
      <c r="V8" s="556"/>
      <c r="W8" s="95"/>
      <c r="X8" s="13"/>
      <c r="Y8" s="45"/>
      <c r="Z8" s="46"/>
      <c r="AA8" s="534"/>
      <c r="AB8" s="95"/>
      <c r="AC8" s="13"/>
      <c r="AD8" s="45"/>
      <c r="AE8" s="13"/>
      <c r="AF8" s="537"/>
      <c r="AG8" s="42"/>
      <c r="AH8" s="7"/>
      <c r="AI8" s="43"/>
      <c r="AJ8" s="44"/>
      <c r="AK8" s="91"/>
      <c r="AL8"/>
      <c r="AM8"/>
      <c r="AN8"/>
      <c r="AO8"/>
      <c r="AP8"/>
      <c r="AQ8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</row>
    <row r="9" spans="1:86" s="1" customFormat="1" ht="18" hidden="1" customHeight="1">
      <c r="A9" s="537"/>
      <c r="B9" s="537"/>
      <c r="C9" s="42"/>
      <c r="D9" s="7"/>
      <c r="E9" s="43"/>
      <c r="F9" s="44"/>
      <c r="G9" s="534"/>
      <c r="H9" s="208"/>
      <c r="I9" s="13"/>
      <c r="J9" s="45"/>
      <c r="K9" s="13"/>
      <c r="L9" s="534"/>
      <c r="M9" s="208"/>
      <c r="N9" s="13"/>
      <c r="O9" s="45"/>
      <c r="P9" s="13"/>
      <c r="Q9" s="534"/>
      <c r="R9" s="95"/>
      <c r="S9" s="13"/>
      <c r="T9" s="275"/>
      <c r="U9" s="280"/>
      <c r="V9" s="556"/>
      <c r="W9" s="95"/>
      <c r="X9" s="13"/>
      <c r="Y9" s="45"/>
      <c r="Z9" s="46"/>
      <c r="AA9" s="534"/>
      <c r="AB9" s="95"/>
      <c r="AC9" s="13"/>
      <c r="AD9" s="45"/>
      <c r="AE9" s="13"/>
      <c r="AF9" s="537"/>
      <c r="AG9" s="42"/>
      <c r="AH9" s="7"/>
      <c r="AI9" s="43"/>
      <c r="AJ9" s="44"/>
      <c r="AK9" s="91"/>
      <c r="AL9"/>
      <c r="AM9"/>
      <c r="AN9"/>
      <c r="AO9"/>
      <c r="AP9"/>
      <c r="AQ9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</row>
    <row r="10" spans="1:86" s="1" customFormat="1" ht="18" hidden="1" customHeight="1">
      <c r="A10" s="537"/>
      <c r="B10" s="537"/>
      <c r="C10" s="42"/>
      <c r="D10" s="7"/>
      <c r="E10" s="43"/>
      <c r="F10" s="44"/>
      <c r="G10" s="534"/>
      <c r="H10" s="208"/>
      <c r="I10" s="13"/>
      <c r="J10" s="45"/>
      <c r="K10" s="13"/>
      <c r="L10" s="534"/>
      <c r="M10" s="208"/>
      <c r="N10" s="13"/>
      <c r="O10" s="45"/>
      <c r="P10" s="13"/>
      <c r="Q10" s="534"/>
      <c r="R10" s="95"/>
      <c r="S10" s="13"/>
      <c r="T10" s="275"/>
      <c r="U10" s="280"/>
      <c r="V10" s="556"/>
      <c r="W10" s="95"/>
      <c r="X10" s="13"/>
      <c r="Y10" s="45"/>
      <c r="Z10" s="46"/>
      <c r="AA10" s="534"/>
      <c r="AB10" s="95"/>
      <c r="AC10" s="13"/>
      <c r="AD10" s="45"/>
      <c r="AE10" s="13"/>
      <c r="AF10" s="537"/>
      <c r="AG10" s="42"/>
      <c r="AH10" s="7"/>
      <c r="AI10" s="43"/>
      <c r="AJ10" s="44"/>
      <c r="AK10" s="91"/>
      <c r="AL10"/>
      <c r="AM10"/>
      <c r="AN10"/>
      <c r="AO10"/>
      <c r="AP10"/>
      <c r="AQ10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</row>
    <row r="11" spans="1:86" s="1" customFormat="1" ht="18" hidden="1" customHeight="1">
      <c r="A11" s="537"/>
      <c r="B11" s="537"/>
      <c r="C11" s="42"/>
      <c r="D11" s="7"/>
      <c r="E11" s="43"/>
      <c r="F11" s="44"/>
      <c r="G11" s="534"/>
      <c r="H11" s="208"/>
      <c r="I11" s="13"/>
      <c r="J11" s="45"/>
      <c r="K11" s="13"/>
      <c r="L11" s="534"/>
      <c r="M11" s="208"/>
      <c r="N11" s="13"/>
      <c r="O11" s="45"/>
      <c r="P11" s="13"/>
      <c r="Q11" s="534"/>
      <c r="R11" s="95"/>
      <c r="S11" s="13"/>
      <c r="T11" s="275"/>
      <c r="U11" s="280"/>
      <c r="V11" s="556"/>
      <c r="W11" s="95"/>
      <c r="X11" s="13"/>
      <c r="Y11" s="45"/>
      <c r="Z11" s="46"/>
      <c r="AA11" s="534"/>
      <c r="AB11" s="95"/>
      <c r="AC11" s="13"/>
      <c r="AD11" s="45"/>
      <c r="AE11" s="13"/>
      <c r="AF11" s="537"/>
      <c r="AG11" s="42"/>
      <c r="AH11" s="7"/>
      <c r="AI11" s="43"/>
      <c r="AJ11" s="44"/>
      <c r="AK11" s="91"/>
      <c r="AL11"/>
      <c r="AM11"/>
      <c r="AN11"/>
      <c r="AO11"/>
      <c r="AP11"/>
      <c r="AQ11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</row>
    <row r="12" spans="1:86" s="1" customFormat="1" ht="18" hidden="1" customHeight="1">
      <c r="A12" s="537"/>
      <c r="B12" s="537"/>
      <c r="C12" s="42"/>
      <c r="D12" s="7"/>
      <c r="E12" s="43"/>
      <c r="F12" s="44"/>
      <c r="G12" s="534"/>
      <c r="H12" s="208"/>
      <c r="I12" s="13"/>
      <c r="J12" s="45"/>
      <c r="K12" s="13"/>
      <c r="L12" s="534"/>
      <c r="M12" s="208"/>
      <c r="N12" s="13"/>
      <c r="O12" s="45"/>
      <c r="P12" s="13"/>
      <c r="Q12" s="534"/>
      <c r="R12" s="95"/>
      <c r="S12" s="13"/>
      <c r="T12" s="275"/>
      <c r="U12" s="280"/>
      <c r="V12" s="556"/>
      <c r="W12" s="95"/>
      <c r="X12" s="13"/>
      <c r="Y12" s="45"/>
      <c r="Z12" s="46"/>
      <c r="AA12" s="534"/>
      <c r="AB12" s="95"/>
      <c r="AC12" s="13"/>
      <c r="AD12" s="45"/>
      <c r="AE12" s="13"/>
      <c r="AF12" s="537"/>
      <c r="AG12" s="42"/>
      <c r="AH12" s="7"/>
      <c r="AI12" s="43"/>
      <c r="AJ12" s="44"/>
      <c r="AK12" s="91"/>
      <c r="AL12"/>
      <c r="AM12"/>
      <c r="AN12"/>
      <c r="AO12"/>
      <c r="AP12"/>
      <c r="AQ12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</row>
    <row r="13" spans="1:86" s="1" customFormat="1" ht="18" hidden="1" customHeight="1">
      <c r="A13" s="537"/>
      <c r="B13" s="537"/>
      <c r="C13" s="42"/>
      <c r="D13" s="7"/>
      <c r="E13" s="43"/>
      <c r="F13" s="44"/>
      <c r="G13" s="534"/>
      <c r="H13" s="208"/>
      <c r="I13" s="13"/>
      <c r="J13" s="45"/>
      <c r="K13" s="13"/>
      <c r="L13" s="534"/>
      <c r="M13" s="208"/>
      <c r="N13" s="13"/>
      <c r="O13" s="45"/>
      <c r="P13" s="13"/>
      <c r="Q13" s="534"/>
      <c r="R13" s="95"/>
      <c r="S13" s="13"/>
      <c r="T13" s="275"/>
      <c r="U13" s="280"/>
      <c r="V13" s="556"/>
      <c r="W13" s="95"/>
      <c r="X13" s="13"/>
      <c r="Y13" s="45"/>
      <c r="Z13" s="46"/>
      <c r="AA13" s="534"/>
      <c r="AB13" s="95"/>
      <c r="AC13" s="13"/>
      <c r="AD13" s="45"/>
      <c r="AE13" s="13"/>
      <c r="AF13" s="537"/>
      <c r="AG13" s="42"/>
      <c r="AH13" s="7"/>
      <c r="AI13" s="43"/>
      <c r="AJ13" s="44"/>
      <c r="AK13" s="91"/>
      <c r="AL13"/>
      <c r="AM13"/>
      <c r="AN13"/>
      <c r="AO13"/>
      <c r="AP13"/>
      <c r="AQ13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</row>
    <row r="14" spans="1:86" s="1" customFormat="1" ht="18" hidden="1" customHeight="1">
      <c r="A14" s="537"/>
      <c r="B14" s="537"/>
      <c r="C14" s="42"/>
      <c r="D14" s="7"/>
      <c r="E14" s="43"/>
      <c r="F14" s="44"/>
      <c r="G14" s="534"/>
      <c r="H14" s="208"/>
      <c r="I14" s="13"/>
      <c r="J14" s="45"/>
      <c r="K14" s="13"/>
      <c r="L14" s="534"/>
      <c r="M14" s="208"/>
      <c r="N14" s="13"/>
      <c r="O14" s="45"/>
      <c r="P14" s="13"/>
      <c r="Q14" s="534"/>
      <c r="R14" s="95"/>
      <c r="S14" s="13"/>
      <c r="T14" s="275"/>
      <c r="U14" s="280"/>
      <c r="V14" s="556"/>
      <c r="W14" s="95"/>
      <c r="X14" s="13"/>
      <c r="Y14" s="45"/>
      <c r="Z14" s="46"/>
      <c r="AA14" s="534"/>
      <c r="AB14" s="95"/>
      <c r="AC14" s="13"/>
      <c r="AD14" s="45"/>
      <c r="AE14" s="13"/>
      <c r="AF14" s="537"/>
      <c r="AG14" s="42"/>
      <c r="AH14" s="7"/>
      <c r="AI14" s="43"/>
      <c r="AJ14" s="44"/>
      <c r="AK14" s="91"/>
      <c r="AL14"/>
      <c r="AM14"/>
      <c r="AN14"/>
      <c r="AO14"/>
      <c r="AP14"/>
      <c r="AQ1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</row>
    <row r="15" spans="1:86" s="1" customFormat="1" ht="18" hidden="1" customHeight="1">
      <c r="A15" s="537"/>
      <c r="B15" s="537"/>
      <c r="C15" s="42"/>
      <c r="D15" s="7"/>
      <c r="E15" s="43"/>
      <c r="F15" s="44"/>
      <c r="G15" s="534"/>
      <c r="H15" s="208"/>
      <c r="I15" s="13"/>
      <c r="J15" s="45"/>
      <c r="K15" s="13"/>
      <c r="L15" s="534"/>
      <c r="M15" s="208"/>
      <c r="N15" s="13"/>
      <c r="O15" s="45"/>
      <c r="P15" s="13"/>
      <c r="Q15" s="534"/>
      <c r="R15" s="95"/>
      <c r="S15" s="13"/>
      <c r="T15" s="275"/>
      <c r="U15" s="280"/>
      <c r="V15" s="556"/>
      <c r="W15" s="95"/>
      <c r="X15" s="13"/>
      <c r="Y15" s="45"/>
      <c r="Z15" s="46"/>
      <c r="AA15" s="534"/>
      <c r="AB15" s="95"/>
      <c r="AC15" s="13"/>
      <c r="AD15" s="45"/>
      <c r="AE15" s="13"/>
      <c r="AF15" s="537"/>
      <c r="AG15" s="42"/>
      <c r="AH15" s="7"/>
      <c r="AI15" s="43"/>
      <c r="AJ15" s="44"/>
      <c r="AK15" s="91"/>
      <c r="AL15"/>
      <c r="AM15"/>
      <c r="AN15"/>
      <c r="AO15"/>
      <c r="AP15"/>
      <c r="AQ15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</row>
    <row r="16" spans="1:86" s="1" customFormat="1" ht="18" hidden="1" customHeight="1">
      <c r="A16" s="537"/>
      <c r="B16" s="537"/>
      <c r="C16" s="42"/>
      <c r="D16" s="7"/>
      <c r="E16" s="43"/>
      <c r="F16" s="44"/>
      <c r="G16" s="534"/>
      <c r="H16" s="208"/>
      <c r="I16" s="13"/>
      <c r="J16" s="45"/>
      <c r="K16" s="13"/>
      <c r="L16" s="534"/>
      <c r="M16" s="208"/>
      <c r="N16" s="13"/>
      <c r="O16" s="45"/>
      <c r="P16" s="13"/>
      <c r="Q16" s="534"/>
      <c r="R16" s="95"/>
      <c r="S16" s="13"/>
      <c r="T16" s="275"/>
      <c r="U16" s="280"/>
      <c r="V16" s="556"/>
      <c r="W16" s="95"/>
      <c r="X16" s="13"/>
      <c r="Y16" s="45"/>
      <c r="Z16" s="46"/>
      <c r="AA16" s="534"/>
      <c r="AB16" s="95"/>
      <c r="AC16" s="13"/>
      <c r="AD16" s="45"/>
      <c r="AE16" s="13"/>
      <c r="AF16" s="537"/>
      <c r="AG16" s="42"/>
      <c r="AH16" s="7"/>
      <c r="AI16" s="43"/>
      <c r="AJ16" s="44"/>
      <c r="AK16" s="91"/>
      <c r="AL16"/>
      <c r="AM16"/>
      <c r="AN16"/>
      <c r="AO16"/>
      <c r="AP16"/>
      <c r="AQ16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</row>
    <row r="17" spans="1:86" s="1" customFormat="1" ht="18" hidden="1" customHeight="1">
      <c r="A17" s="537"/>
      <c r="B17" s="537"/>
      <c r="C17" s="42"/>
      <c r="D17" s="7"/>
      <c r="E17" s="43"/>
      <c r="F17" s="44"/>
      <c r="G17" s="534"/>
      <c r="H17" s="208"/>
      <c r="I17" s="13"/>
      <c r="J17" s="45"/>
      <c r="K17" s="13"/>
      <c r="L17" s="534"/>
      <c r="M17" s="208"/>
      <c r="N17" s="13"/>
      <c r="O17" s="45"/>
      <c r="P17" s="13"/>
      <c r="Q17" s="534"/>
      <c r="R17" s="95"/>
      <c r="S17" s="13"/>
      <c r="T17" s="275"/>
      <c r="U17" s="280"/>
      <c r="V17" s="556"/>
      <c r="W17" s="95"/>
      <c r="X17" s="13"/>
      <c r="Y17" s="45"/>
      <c r="Z17" s="46"/>
      <c r="AA17" s="534"/>
      <c r="AB17" s="95"/>
      <c r="AC17" s="13"/>
      <c r="AD17" s="45"/>
      <c r="AE17" s="13"/>
      <c r="AF17" s="537"/>
      <c r="AG17" s="42"/>
      <c r="AH17" s="7"/>
      <c r="AI17" s="43"/>
      <c r="AJ17" s="44"/>
      <c r="AK17" s="91"/>
      <c r="AL17"/>
      <c r="AM17"/>
      <c r="AN17"/>
      <c r="AO17"/>
      <c r="AP17"/>
      <c r="AQ17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</row>
    <row r="18" spans="1:86" s="1" customFormat="1" ht="18" hidden="1" customHeight="1">
      <c r="A18" s="537"/>
      <c r="B18" s="538"/>
      <c r="C18" s="47"/>
      <c r="D18" s="48"/>
      <c r="E18" s="49"/>
      <c r="F18" s="50"/>
      <c r="G18" s="535"/>
      <c r="H18" s="323"/>
      <c r="I18" s="14"/>
      <c r="J18" s="40"/>
      <c r="K18" s="14"/>
      <c r="L18" s="535"/>
      <c r="M18" s="323"/>
      <c r="N18" s="14"/>
      <c r="O18" s="40"/>
      <c r="P18" s="14"/>
      <c r="Q18" s="535"/>
      <c r="R18" s="95"/>
      <c r="S18" s="13"/>
      <c r="T18" s="274"/>
      <c r="U18" s="281"/>
      <c r="V18" s="557"/>
      <c r="W18" s="96"/>
      <c r="X18" s="14"/>
      <c r="Y18" s="40"/>
      <c r="Z18" s="41"/>
      <c r="AA18" s="535"/>
      <c r="AB18" s="96"/>
      <c r="AC18" s="14"/>
      <c r="AD18" s="40"/>
      <c r="AE18" s="14"/>
      <c r="AF18" s="538"/>
      <c r="AG18" s="47"/>
      <c r="AH18" s="48"/>
      <c r="AI18" s="49"/>
      <c r="AJ18" s="50"/>
      <c r="AK18" s="91"/>
      <c r="AL18"/>
      <c r="AM18"/>
      <c r="AN18"/>
      <c r="AO18"/>
      <c r="AP18"/>
      <c r="AQ18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</row>
    <row r="19" spans="1:86" s="1" customFormat="1" ht="18" hidden="1" customHeight="1">
      <c r="A19" s="539" t="s">
        <v>47</v>
      </c>
      <c r="B19" s="643"/>
      <c r="C19" s="187"/>
      <c r="D19" s="188"/>
      <c r="E19" s="189"/>
      <c r="F19" s="190"/>
      <c r="G19" s="545"/>
      <c r="H19" s="95"/>
      <c r="I19" s="13"/>
      <c r="J19" s="276"/>
      <c r="K19" s="278"/>
      <c r="L19" s="548"/>
      <c r="M19" s="95"/>
      <c r="N19" s="13"/>
      <c r="O19" s="276"/>
      <c r="P19" s="278"/>
      <c r="Q19" s="548"/>
      <c r="R19" s="95"/>
      <c r="S19" s="13"/>
      <c r="T19" s="276"/>
      <c r="U19" s="278"/>
      <c r="V19" s="548"/>
      <c r="W19" s="95"/>
      <c r="X19" s="13"/>
      <c r="Y19" s="276"/>
      <c r="Z19" s="278"/>
      <c r="AA19" s="548"/>
      <c r="AB19" s="95"/>
      <c r="AC19" s="13"/>
      <c r="AD19" s="276"/>
      <c r="AE19" s="278"/>
      <c r="AF19" s="643"/>
      <c r="AG19" s="191"/>
      <c r="AH19" s="192"/>
      <c r="AI19" s="193"/>
      <c r="AJ19" s="190"/>
      <c r="AK19" s="91"/>
      <c r="AL19"/>
      <c r="AM19"/>
      <c r="AN19"/>
      <c r="AO19"/>
      <c r="AP19"/>
      <c r="AQ19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</row>
    <row r="20" spans="1:86" s="1" customFormat="1" ht="18" hidden="1" customHeight="1">
      <c r="A20" s="540"/>
      <c r="B20" s="644"/>
      <c r="C20" s="194"/>
      <c r="D20" s="195"/>
      <c r="E20" s="196"/>
      <c r="F20" s="197"/>
      <c r="G20" s="546"/>
      <c r="H20" s="95"/>
      <c r="I20" s="13"/>
      <c r="J20" s="276"/>
      <c r="K20" s="268"/>
      <c r="L20" s="549"/>
      <c r="M20" s="95"/>
      <c r="N20" s="13"/>
      <c r="O20" s="276"/>
      <c r="P20" s="268"/>
      <c r="Q20" s="549"/>
      <c r="R20" s="95"/>
      <c r="S20" s="13"/>
      <c r="T20" s="276"/>
      <c r="U20" s="268"/>
      <c r="V20" s="549"/>
      <c r="W20" s="95"/>
      <c r="X20" s="13"/>
      <c r="Y20" s="276"/>
      <c r="Z20" s="268"/>
      <c r="AA20" s="549"/>
      <c r="AB20" s="95"/>
      <c r="AC20" s="13"/>
      <c r="AD20" s="276"/>
      <c r="AE20" s="268"/>
      <c r="AF20" s="644"/>
      <c r="AG20" s="198"/>
      <c r="AH20" s="199"/>
      <c r="AI20" s="200"/>
      <c r="AJ20" s="197"/>
      <c r="AK20" s="91"/>
      <c r="AL20"/>
      <c r="AM20"/>
      <c r="AN20"/>
      <c r="AO20"/>
      <c r="AP20"/>
      <c r="AQ20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</row>
    <row r="21" spans="1:86" s="1" customFormat="1" ht="18" hidden="1" customHeight="1">
      <c r="A21" s="540"/>
      <c r="B21" s="644"/>
      <c r="C21" s="194"/>
      <c r="D21" s="195"/>
      <c r="E21" s="196"/>
      <c r="F21" s="197"/>
      <c r="G21" s="546"/>
      <c r="H21" s="95"/>
      <c r="I21" s="13"/>
      <c r="J21" s="276"/>
      <c r="K21" s="268"/>
      <c r="L21" s="549"/>
      <c r="M21" s="95"/>
      <c r="N21" s="13"/>
      <c r="O21" s="276"/>
      <c r="P21" s="268"/>
      <c r="Q21" s="549"/>
      <c r="R21" s="95"/>
      <c r="S21" s="13"/>
      <c r="T21" s="276"/>
      <c r="U21" s="268"/>
      <c r="V21" s="549"/>
      <c r="W21" s="95"/>
      <c r="X21" s="13"/>
      <c r="Y21" s="276"/>
      <c r="Z21" s="268"/>
      <c r="AA21" s="549"/>
      <c r="AB21" s="95"/>
      <c r="AC21" s="13"/>
      <c r="AD21" s="276"/>
      <c r="AE21" s="268"/>
      <c r="AF21" s="644"/>
      <c r="AG21" s="198"/>
      <c r="AH21" s="199"/>
      <c r="AI21" s="200"/>
      <c r="AJ21" s="197"/>
      <c r="AK21" s="91"/>
      <c r="AL21"/>
      <c r="AM21"/>
      <c r="AN21"/>
      <c r="AO21"/>
      <c r="AP21"/>
      <c r="AQ21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</row>
    <row r="22" spans="1:86" s="1" customFormat="1" ht="18" hidden="1" customHeight="1">
      <c r="A22" s="540"/>
      <c r="B22" s="644"/>
      <c r="C22" s="194"/>
      <c r="D22" s="195"/>
      <c r="E22" s="196"/>
      <c r="F22" s="197"/>
      <c r="G22" s="546"/>
      <c r="H22" s="95"/>
      <c r="I22" s="13"/>
      <c r="J22" s="276"/>
      <c r="K22" s="268"/>
      <c r="L22" s="549"/>
      <c r="M22" s="95"/>
      <c r="N22" s="13"/>
      <c r="O22" s="276"/>
      <c r="P22" s="268"/>
      <c r="Q22" s="549"/>
      <c r="R22" s="95"/>
      <c r="S22" s="13"/>
      <c r="T22" s="276"/>
      <c r="U22" s="268"/>
      <c r="V22" s="549"/>
      <c r="W22" s="95"/>
      <c r="X22" s="13"/>
      <c r="Y22" s="276"/>
      <c r="Z22" s="268"/>
      <c r="AA22" s="549"/>
      <c r="AB22" s="95"/>
      <c r="AC22" s="13"/>
      <c r="AD22" s="276"/>
      <c r="AE22" s="268"/>
      <c r="AF22" s="644"/>
      <c r="AG22" s="198"/>
      <c r="AH22" s="199"/>
      <c r="AI22" s="200"/>
      <c r="AJ22" s="197"/>
      <c r="AK22" s="91"/>
      <c r="AL22"/>
      <c r="AM22"/>
      <c r="AN22"/>
      <c r="AO22"/>
      <c r="AP22"/>
      <c r="AQ22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</row>
    <row r="23" spans="1:86" s="1" customFormat="1" ht="18" hidden="1" customHeight="1">
      <c r="A23" s="540"/>
      <c r="B23" s="644"/>
      <c r="C23" s="194"/>
      <c r="D23" s="195"/>
      <c r="E23" s="196"/>
      <c r="F23" s="197"/>
      <c r="G23" s="546"/>
      <c r="H23" s="95"/>
      <c r="I23" s="13"/>
      <c r="J23" s="276"/>
      <c r="K23" s="268"/>
      <c r="L23" s="549"/>
      <c r="M23" s="95"/>
      <c r="N23" s="13"/>
      <c r="O23" s="276"/>
      <c r="P23" s="268"/>
      <c r="Q23" s="549"/>
      <c r="R23" s="95"/>
      <c r="S23" s="13"/>
      <c r="T23" s="276"/>
      <c r="U23" s="268"/>
      <c r="V23" s="549"/>
      <c r="W23" s="95"/>
      <c r="X23" s="13"/>
      <c r="Y23" s="276"/>
      <c r="Z23" s="268"/>
      <c r="AA23" s="549"/>
      <c r="AB23" s="95"/>
      <c r="AC23" s="13"/>
      <c r="AD23" s="276"/>
      <c r="AE23" s="268"/>
      <c r="AF23" s="644"/>
      <c r="AG23" s="198"/>
      <c r="AH23" s="199"/>
      <c r="AI23" s="200"/>
      <c r="AJ23" s="197"/>
      <c r="AK23" s="91"/>
      <c r="AL23"/>
      <c r="AM23"/>
      <c r="AN23"/>
      <c r="AO23"/>
      <c r="AP23"/>
      <c r="AQ23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</row>
    <row r="24" spans="1:86" s="1" customFormat="1" ht="18" hidden="1" customHeight="1">
      <c r="A24" s="540"/>
      <c r="B24" s="644"/>
      <c r="C24" s="194"/>
      <c r="D24" s="195"/>
      <c r="E24" s="196"/>
      <c r="F24" s="197"/>
      <c r="G24" s="546"/>
      <c r="H24" s="95"/>
      <c r="I24" s="13"/>
      <c r="J24" s="276"/>
      <c r="K24" s="268"/>
      <c r="L24" s="549"/>
      <c r="M24" s="95"/>
      <c r="N24" s="13"/>
      <c r="O24" s="276"/>
      <c r="P24" s="268"/>
      <c r="Q24" s="549"/>
      <c r="R24" s="95"/>
      <c r="S24" s="13"/>
      <c r="T24" s="276"/>
      <c r="U24" s="268"/>
      <c r="V24" s="549"/>
      <c r="W24" s="95"/>
      <c r="X24" s="13"/>
      <c r="Y24" s="276"/>
      <c r="Z24" s="268"/>
      <c r="AA24" s="549"/>
      <c r="AB24" s="95"/>
      <c r="AC24" s="13"/>
      <c r="AD24" s="276"/>
      <c r="AE24" s="268"/>
      <c r="AF24" s="644"/>
      <c r="AG24" s="198"/>
      <c r="AH24" s="199"/>
      <c r="AI24" s="200"/>
      <c r="AJ24" s="197"/>
      <c r="AK24" s="91"/>
      <c r="AL24"/>
      <c r="AM24"/>
      <c r="AN24"/>
      <c r="AO24"/>
      <c r="AP24"/>
      <c r="AQ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</row>
    <row r="25" spans="1:86" s="1" customFormat="1" ht="18" hidden="1" customHeight="1">
      <c r="A25" s="540"/>
      <c r="B25" s="644"/>
      <c r="C25" s="194"/>
      <c r="D25" s="195"/>
      <c r="E25" s="196"/>
      <c r="F25" s="197"/>
      <c r="G25" s="546"/>
      <c r="H25" s="95"/>
      <c r="I25" s="13"/>
      <c r="J25" s="276"/>
      <c r="K25" s="268"/>
      <c r="L25" s="549"/>
      <c r="M25" s="95"/>
      <c r="N25" s="13"/>
      <c r="O25" s="276"/>
      <c r="P25" s="268"/>
      <c r="Q25" s="549"/>
      <c r="R25" s="95"/>
      <c r="S25" s="13"/>
      <c r="T25" s="276"/>
      <c r="U25" s="268"/>
      <c r="V25" s="549"/>
      <c r="W25" s="95"/>
      <c r="X25" s="13"/>
      <c r="Y25" s="276"/>
      <c r="Z25" s="268"/>
      <c r="AA25" s="549"/>
      <c r="AB25" s="95"/>
      <c r="AC25" s="13"/>
      <c r="AD25" s="276"/>
      <c r="AE25" s="268"/>
      <c r="AF25" s="644"/>
      <c r="AG25" s="198"/>
      <c r="AH25" s="199"/>
      <c r="AI25" s="200"/>
      <c r="AJ25" s="197"/>
      <c r="AK25" s="91"/>
      <c r="AL25"/>
      <c r="AM25"/>
      <c r="AN25"/>
      <c r="AO25"/>
      <c r="AP25"/>
      <c r="AQ25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</row>
    <row r="26" spans="1:86" s="1" customFormat="1" ht="18" hidden="1" customHeight="1">
      <c r="A26" s="540"/>
      <c r="B26" s="644"/>
      <c r="C26" s="194"/>
      <c r="D26" s="195"/>
      <c r="E26" s="196"/>
      <c r="F26" s="197"/>
      <c r="G26" s="546"/>
      <c r="H26" s="95"/>
      <c r="I26" s="13"/>
      <c r="J26" s="276"/>
      <c r="K26" s="268"/>
      <c r="L26" s="549"/>
      <c r="M26" s="95"/>
      <c r="N26" s="13"/>
      <c r="O26" s="276"/>
      <c r="P26" s="268"/>
      <c r="Q26" s="549"/>
      <c r="R26" s="95"/>
      <c r="S26" s="13"/>
      <c r="T26" s="276"/>
      <c r="U26" s="268"/>
      <c r="V26" s="549"/>
      <c r="W26" s="95"/>
      <c r="X26" s="13"/>
      <c r="Y26" s="276"/>
      <c r="Z26" s="268"/>
      <c r="AA26" s="549"/>
      <c r="AB26" s="95"/>
      <c r="AC26" s="13"/>
      <c r="AD26" s="276"/>
      <c r="AE26" s="268"/>
      <c r="AF26" s="644"/>
      <c r="AG26" s="198"/>
      <c r="AH26" s="199"/>
      <c r="AI26" s="200"/>
      <c r="AJ26" s="197"/>
      <c r="AK26" s="91"/>
      <c r="AL26"/>
      <c r="AM26"/>
      <c r="AN26"/>
      <c r="AO26"/>
      <c r="AP26"/>
      <c r="AQ26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</row>
    <row r="27" spans="1:86" s="1" customFormat="1" ht="18" hidden="1" customHeight="1">
      <c r="A27" s="540"/>
      <c r="B27" s="644"/>
      <c r="C27" s="194"/>
      <c r="D27" s="195"/>
      <c r="E27" s="196"/>
      <c r="F27" s="197"/>
      <c r="G27" s="546"/>
      <c r="H27" s="95"/>
      <c r="I27" s="13"/>
      <c r="J27" s="276"/>
      <c r="K27" s="268"/>
      <c r="L27" s="549"/>
      <c r="M27" s="95"/>
      <c r="N27" s="13"/>
      <c r="O27" s="276"/>
      <c r="P27" s="268"/>
      <c r="Q27" s="549"/>
      <c r="R27" s="95"/>
      <c r="S27" s="13"/>
      <c r="T27" s="276"/>
      <c r="U27" s="268"/>
      <c r="V27" s="549"/>
      <c r="W27" s="95"/>
      <c r="X27" s="13"/>
      <c r="Y27" s="276"/>
      <c r="Z27" s="268"/>
      <c r="AA27" s="549"/>
      <c r="AB27" s="95"/>
      <c r="AC27" s="13"/>
      <c r="AD27" s="276"/>
      <c r="AE27" s="268"/>
      <c r="AF27" s="644"/>
      <c r="AG27" s="198"/>
      <c r="AH27" s="199"/>
      <c r="AI27" s="200"/>
      <c r="AJ27" s="197"/>
      <c r="AK27" s="91"/>
      <c r="AL27"/>
      <c r="AM27"/>
      <c r="AN27"/>
      <c r="AO27"/>
      <c r="AP27"/>
      <c r="AQ27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</row>
    <row r="28" spans="1:86" s="1" customFormat="1" ht="18" hidden="1" customHeight="1">
      <c r="A28" s="540"/>
      <c r="B28" s="644"/>
      <c r="C28" s="194"/>
      <c r="D28" s="195"/>
      <c r="E28" s="196"/>
      <c r="F28" s="197"/>
      <c r="G28" s="546"/>
      <c r="H28" s="95"/>
      <c r="I28" s="13"/>
      <c r="J28" s="276"/>
      <c r="K28" s="268"/>
      <c r="L28" s="549"/>
      <c r="M28" s="95"/>
      <c r="N28" s="13"/>
      <c r="O28" s="276"/>
      <c r="P28" s="268"/>
      <c r="Q28" s="549"/>
      <c r="R28" s="95"/>
      <c r="S28" s="13"/>
      <c r="T28" s="276"/>
      <c r="U28" s="268"/>
      <c r="V28" s="549"/>
      <c r="W28" s="95"/>
      <c r="X28" s="13"/>
      <c r="Y28" s="276"/>
      <c r="Z28" s="268"/>
      <c r="AA28" s="549"/>
      <c r="AB28" s="95"/>
      <c r="AC28" s="13"/>
      <c r="AD28" s="276"/>
      <c r="AE28" s="268"/>
      <c r="AF28" s="644"/>
      <c r="AG28" s="198"/>
      <c r="AH28" s="199"/>
      <c r="AI28" s="200"/>
      <c r="AJ28" s="197"/>
      <c r="AK28" s="91"/>
      <c r="AL28"/>
      <c r="AM28"/>
      <c r="AN28"/>
      <c r="AO28"/>
      <c r="AP28"/>
      <c r="AQ28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</row>
    <row r="29" spans="1:86" s="1" customFormat="1" ht="18" hidden="1" customHeight="1">
      <c r="A29" s="540"/>
      <c r="B29" s="644"/>
      <c r="C29" s="194"/>
      <c r="D29" s="195"/>
      <c r="E29" s="196"/>
      <c r="F29" s="197"/>
      <c r="G29" s="546"/>
      <c r="H29" s="95"/>
      <c r="I29" s="13"/>
      <c r="J29" s="276"/>
      <c r="K29" s="268"/>
      <c r="L29" s="549"/>
      <c r="M29" s="95"/>
      <c r="N29" s="13"/>
      <c r="O29" s="276"/>
      <c r="P29" s="268"/>
      <c r="Q29" s="549"/>
      <c r="R29" s="95"/>
      <c r="S29" s="13"/>
      <c r="T29" s="276"/>
      <c r="U29" s="268"/>
      <c r="V29" s="549"/>
      <c r="W29" s="95"/>
      <c r="X29" s="13"/>
      <c r="Y29" s="276"/>
      <c r="Z29" s="268"/>
      <c r="AA29" s="549"/>
      <c r="AB29" s="95"/>
      <c r="AC29" s="13"/>
      <c r="AD29" s="276"/>
      <c r="AE29" s="268"/>
      <c r="AF29" s="644"/>
      <c r="AG29" s="198"/>
      <c r="AH29" s="199"/>
      <c r="AI29" s="200"/>
      <c r="AJ29" s="197"/>
      <c r="AK29" s="91"/>
      <c r="AL29"/>
      <c r="AM29"/>
      <c r="AN29"/>
      <c r="AO29"/>
      <c r="AP29"/>
      <c r="AQ29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</row>
    <row r="30" spans="1:86" s="1" customFormat="1" ht="18" hidden="1" customHeight="1">
      <c r="A30" s="540"/>
      <c r="B30" s="644"/>
      <c r="C30" s="194"/>
      <c r="D30" s="195"/>
      <c r="E30" s="196"/>
      <c r="F30" s="197"/>
      <c r="G30" s="546"/>
      <c r="H30" s="95"/>
      <c r="I30" s="13"/>
      <c r="J30" s="276"/>
      <c r="K30" s="268"/>
      <c r="L30" s="549"/>
      <c r="M30" s="95"/>
      <c r="N30" s="13"/>
      <c r="O30" s="276"/>
      <c r="P30" s="268"/>
      <c r="Q30" s="549"/>
      <c r="R30" s="95"/>
      <c r="S30" s="13"/>
      <c r="T30" s="276"/>
      <c r="U30" s="268"/>
      <c r="V30" s="549"/>
      <c r="W30" s="95"/>
      <c r="X30" s="13"/>
      <c r="Y30" s="276"/>
      <c r="Z30" s="268"/>
      <c r="AA30" s="549"/>
      <c r="AB30" s="95"/>
      <c r="AC30" s="13"/>
      <c r="AD30" s="276"/>
      <c r="AE30" s="268"/>
      <c r="AF30" s="644"/>
      <c r="AG30" s="198"/>
      <c r="AH30" s="199"/>
      <c r="AI30" s="200"/>
      <c r="AJ30" s="197"/>
      <c r="AK30" s="91"/>
      <c r="AL30"/>
      <c r="AM30"/>
      <c r="AN30"/>
      <c r="AO30"/>
      <c r="AP30"/>
      <c r="AQ30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</row>
    <row r="31" spans="1:86" s="1" customFormat="1" ht="18" hidden="1" customHeight="1">
      <c r="A31" s="540"/>
      <c r="B31" s="644"/>
      <c r="C31" s="194"/>
      <c r="D31" s="195"/>
      <c r="E31" s="196"/>
      <c r="F31" s="197"/>
      <c r="G31" s="546"/>
      <c r="H31" s="95"/>
      <c r="I31" s="13"/>
      <c r="J31" s="276"/>
      <c r="K31" s="268"/>
      <c r="L31" s="549"/>
      <c r="M31" s="95"/>
      <c r="N31" s="13"/>
      <c r="O31" s="276"/>
      <c r="P31" s="268"/>
      <c r="Q31" s="549"/>
      <c r="R31" s="95"/>
      <c r="S31" s="13"/>
      <c r="T31" s="276"/>
      <c r="U31" s="268"/>
      <c r="V31" s="549"/>
      <c r="W31" s="95"/>
      <c r="X31" s="13"/>
      <c r="Y31" s="276"/>
      <c r="Z31" s="268"/>
      <c r="AA31" s="549"/>
      <c r="AB31" s="95"/>
      <c r="AC31" s="13"/>
      <c r="AD31" s="276"/>
      <c r="AE31" s="268"/>
      <c r="AF31" s="644"/>
      <c r="AG31" s="198"/>
      <c r="AH31" s="199"/>
      <c r="AI31" s="200"/>
      <c r="AJ31" s="197"/>
      <c r="AK31" s="91"/>
      <c r="AL31"/>
      <c r="AM31"/>
      <c r="AN31"/>
      <c r="AO31"/>
      <c r="AP31"/>
      <c r="AQ31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</row>
    <row r="32" spans="1:86" s="1" customFormat="1" ht="18" hidden="1" customHeight="1">
      <c r="A32" s="540"/>
      <c r="B32" s="644"/>
      <c r="C32" s="194"/>
      <c r="D32" s="195"/>
      <c r="E32" s="196"/>
      <c r="F32" s="197"/>
      <c r="G32" s="546"/>
      <c r="H32" s="95"/>
      <c r="I32" s="13"/>
      <c r="J32" s="276"/>
      <c r="K32" s="268"/>
      <c r="L32" s="549"/>
      <c r="M32" s="95"/>
      <c r="N32" s="13"/>
      <c r="O32" s="276"/>
      <c r="P32" s="268"/>
      <c r="Q32" s="549"/>
      <c r="R32" s="95"/>
      <c r="S32" s="13"/>
      <c r="T32" s="276"/>
      <c r="U32" s="268"/>
      <c r="V32" s="549"/>
      <c r="W32" s="95"/>
      <c r="X32" s="13"/>
      <c r="Y32" s="276"/>
      <c r="Z32" s="268"/>
      <c r="AA32" s="549"/>
      <c r="AB32" s="95"/>
      <c r="AC32" s="13"/>
      <c r="AD32" s="276"/>
      <c r="AE32" s="268"/>
      <c r="AF32" s="644"/>
      <c r="AG32" s="198"/>
      <c r="AH32" s="199"/>
      <c r="AI32" s="200"/>
      <c r="AJ32" s="197"/>
      <c r="AK32" s="91"/>
      <c r="AL32"/>
      <c r="AM32"/>
      <c r="AN32"/>
      <c r="AO32"/>
      <c r="AP32"/>
      <c r="AQ32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</row>
    <row r="33" spans="1:86" s="1" customFormat="1" ht="18" hidden="1" customHeight="1">
      <c r="A33" s="541"/>
      <c r="B33" s="645"/>
      <c r="C33" s="201"/>
      <c r="D33" s="202"/>
      <c r="E33" s="203"/>
      <c r="F33" s="204"/>
      <c r="G33" s="547"/>
      <c r="H33" s="95"/>
      <c r="I33" s="13"/>
      <c r="J33" s="276"/>
      <c r="K33" s="268"/>
      <c r="L33" s="550"/>
      <c r="M33" s="95"/>
      <c r="N33" s="13"/>
      <c r="O33" s="276"/>
      <c r="P33" s="269"/>
      <c r="Q33" s="550"/>
      <c r="R33" s="95"/>
      <c r="S33" s="13"/>
      <c r="T33" s="276"/>
      <c r="U33" s="269"/>
      <c r="V33" s="550"/>
      <c r="W33" s="95"/>
      <c r="X33" s="13"/>
      <c r="Y33" s="276"/>
      <c r="Z33" s="269"/>
      <c r="AA33" s="550"/>
      <c r="AB33" s="95"/>
      <c r="AC33" s="13"/>
      <c r="AD33" s="276"/>
      <c r="AE33" s="269"/>
      <c r="AF33" s="645"/>
      <c r="AG33" s="205"/>
      <c r="AH33" s="206"/>
      <c r="AI33" s="207"/>
      <c r="AJ33" s="204"/>
      <c r="AK33" s="91"/>
      <c r="AL33"/>
      <c r="AM33"/>
      <c r="AN33"/>
      <c r="AO33"/>
      <c r="AP33"/>
      <c r="AQ33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</row>
    <row r="34" spans="1:86" s="1" customFormat="1" ht="18" customHeight="1">
      <c r="A34" s="539" t="s">
        <v>48</v>
      </c>
      <c r="B34" s="643"/>
      <c r="C34" s="187"/>
      <c r="D34" s="188"/>
      <c r="E34" s="189"/>
      <c r="F34" s="190"/>
      <c r="G34" s="639" t="s">
        <v>216</v>
      </c>
      <c r="H34" s="93" t="s">
        <v>92</v>
      </c>
      <c r="I34" s="9" t="s">
        <v>96</v>
      </c>
      <c r="J34" s="253">
        <f>MROUND(75*J$2/1000,3)</f>
        <v>144</v>
      </c>
      <c r="K34" s="223" t="s">
        <v>0</v>
      </c>
      <c r="L34" s="567" t="s">
        <v>217</v>
      </c>
      <c r="M34" s="327" t="s">
        <v>283</v>
      </c>
      <c r="N34" s="9" t="s">
        <v>284</v>
      </c>
      <c r="O34" s="253">
        <f>MROUND(37*O$2/1000,3)</f>
        <v>66</v>
      </c>
      <c r="P34" s="332" t="s">
        <v>5</v>
      </c>
      <c r="Q34" s="567" t="s">
        <v>379</v>
      </c>
      <c r="R34" s="368" t="s">
        <v>92</v>
      </c>
      <c r="S34" s="377" t="s">
        <v>1</v>
      </c>
      <c r="T34" s="253">
        <f>MROUND(42*T$2/1000,3)</f>
        <v>75</v>
      </c>
      <c r="U34" s="223" t="s">
        <v>0</v>
      </c>
      <c r="V34" s="567" t="s">
        <v>218</v>
      </c>
      <c r="W34" s="327" t="s">
        <v>283</v>
      </c>
      <c r="X34" s="9" t="s">
        <v>284</v>
      </c>
      <c r="Y34" s="253">
        <f>MROUND(37*Y$2/1000,3)</f>
        <v>66</v>
      </c>
      <c r="Z34" s="332" t="s">
        <v>5</v>
      </c>
      <c r="AA34" s="567" t="s">
        <v>297</v>
      </c>
      <c r="AB34" s="327" t="s">
        <v>92</v>
      </c>
      <c r="AC34" s="9" t="s">
        <v>97</v>
      </c>
      <c r="AD34" s="253">
        <f>MROUND(75*AD$2/1000,3)</f>
        <v>132</v>
      </c>
      <c r="AE34" s="223" t="s">
        <v>0</v>
      </c>
      <c r="AF34" s="643"/>
      <c r="AG34" s="191"/>
      <c r="AH34" s="192"/>
      <c r="AI34" s="193"/>
      <c r="AJ34" s="190"/>
      <c r="AK34" s="91"/>
      <c r="AL34"/>
      <c r="AM34"/>
      <c r="AN34"/>
      <c r="AO34"/>
      <c r="AP34"/>
      <c r="AQ34"/>
      <c r="AR3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</row>
    <row r="35" spans="1:86" s="1" customFormat="1" ht="18" customHeight="1">
      <c r="A35" s="540"/>
      <c r="B35" s="644"/>
      <c r="C35" s="194"/>
      <c r="D35" s="195"/>
      <c r="E35" s="196"/>
      <c r="F35" s="197"/>
      <c r="G35" s="640"/>
      <c r="H35" s="97" t="s">
        <v>130</v>
      </c>
      <c r="I35" s="13" t="s">
        <v>96</v>
      </c>
      <c r="J35" s="254">
        <f>ROUND(40*J$2/1000,0)</f>
        <v>76</v>
      </c>
      <c r="K35" s="255" t="s">
        <v>0</v>
      </c>
      <c r="L35" s="568"/>
      <c r="M35" s="208" t="s">
        <v>285</v>
      </c>
      <c r="N35" s="13" t="s">
        <v>284</v>
      </c>
      <c r="O35" s="254">
        <f>MROUND(40*O$2/1000,18)</f>
        <v>72</v>
      </c>
      <c r="P35" s="255" t="s">
        <v>5</v>
      </c>
      <c r="Q35" s="568"/>
      <c r="R35" s="97" t="s">
        <v>219</v>
      </c>
      <c r="S35" s="13"/>
      <c r="T35" s="254">
        <f>ROUND(15*T$2/1000,0)</f>
        <v>26</v>
      </c>
      <c r="U35" s="255" t="s">
        <v>0</v>
      </c>
      <c r="V35" s="568"/>
      <c r="W35" s="208" t="s">
        <v>285</v>
      </c>
      <c r="X35" s="13" t="s">
        <v>284</v>
      </c>
      <c r="Y35" s="254">
        <f>MROUND(40*Y$2/1000,18)</f>
        <v>72</v>
      </c>
      <c r="Z35" s="255" t="s">
        <v>5</v>
      </c>
      <c r="AA35" s="568"/>
      <c r="AB35" s="208" t="s">
        <v>108</v>
      </c>
      <c r="AC35" s="13"/>
      <c r="AD35" s="254">
        <f>ROUND(15*AD$2/1000,0)</f>
        <v>26</v>
      </c>
      <c r="AE35" s="255" t="s">
        <v>0</v>
      </c>
      <c r="AF35" s="644"/>
      <c r="AG35" s="198"/>
      <c r="AH35" s="199"/>
      <c r="AI35" s="200"/>
      <c r="AJ35" s="197"/>
      <c r="AK35" s="91"/>
      <c r="AL35"/>
      <c r="AM35"/>
      <c r="AN35"/>
      <c r="AO35"/>
      <c r="AP35"/>
      <c r="AQ35"/>
      <c r="AR35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</row>
    <row r="36" spans="1:86" s="1" customFormat="1" ht="18" customHeight="1">
      <c r="A36" s="540"/>
      <c r="B36" s="644"/>
      <c r="C36" s="194"/>
      <c r="D36" s="195"/>
      <c r="E36" s="196"/>
      <c r="F36" s="197"/>
      <c r="G36" s="640"/>
      <c r="H36" s="319" t="s">
        <v>140</v>
      </c>
      <c r="I36" s="113"/>
      <c r="J36" s="256">
        <f>ROUND(38*22/1000,1)</f>
        <v>0.8</v>
      </c>
      <c r="K36" s="255" t="s">
        <v>0</v>
      </c>
      <c r="L36" s="568"/>
      <c r="M36" s="97" t="s">
        <v>126</v>
      </c>
      <c r="N36" s="13"/>
      <c r="O36" s="254">
        <f>ROUND(15*O$2/1000,0)</f>
        <v>26</v>
      </c>
      <c r="P36" s="255" t="s">
        <v>0</v>
      </c>
      <c r="Q36" s="568"/>
      <c r="R36" s="97" t="s">
        <v>108</v>
      </c>
      <c r="S36" s="13"/>
      <c r="T36" s="254">
        <f>ROUND(10*T$2/1000,0)</f>
        <v>18</v>
      </c>
      <c r="U36" s="255" t="s">
        <v>0</v>
      </c>
      <c r="V36" s="568"/>
      <c r="W36" s="97" t="s">
        <v>8</v>
      </c>
      <c r="X36" s="13"/>
      <c r="Y36" s="254">
        <f>ROUND(35*Y$2/1000,0)</f>
        <v>61</v>
      </c>
      <c r="Z36" s="255" t="s">
        <v>0</v>
      </c>
      <c r="AA36" s="568"/>
      <c r="AB36" s="208" t="s">
        <v>8</v>
      </c>
      <c r="AC36" s="13"/>
      <c r="AD36" s="254">
        <f>ROUND(18*AD$2/1000,0)</f>
        <v>31</v>
      </c>
      <c r="AE36" s="255" t="s">
        <v>0</v>
      </c>
      <c r="AF36" s="644"/>
      <c r="AG36" s="198"/>
      <c r="AH36" s="199"/>
      <c r="AI36" s="200"/>
      <c r="AJ36" s="197"/>
      <c r="AK36" s="91"/>
      <c r="AL36"/>
      <c r="AM36"/>
      <c r="AN36"/>
      <c r="AO36"/>
      <c r="AP36"/>
      <c r="AQ36"/>
      <c r="AR36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</row>
    <row r="37" spans="1:86" s="1" customFormat="1" ht="18" customHeight="1">
      <c r="A37" s="540"/>
      <c r="B37" s="644"/>
      <c r="C37" s="194"/>
      <c r="D37" s="195"/>
      <c r="E37" s="196"/>
      <c r="F37" s="197"/>
      <c r="G37" s="640"/>
      <c r="H37" s="97"/>
      <c r="I37" s="13"/>
      <c r="J37" s="254"/>
      <c r="K37" s="255" t="s">
        <v>0</v>
      </c>
      <c r="L37" s="568"/>
      <c r="M37" s="97" t="s">
        <v>178</v>
      </c>
      <c r="N37" s="13"/>
      <c r="O37" s="254">
        <f>ROUND(15*O$2/1000,0)</f>
        <v>26</v>
      </c>
      <c r="P37" s="255" t="s">
        <v>0</v>
      </c>
      <c r="Q37" s="568"/>
      <c r="R37" s="97" t="s">
        <v>83</v>
      </c>
      <c r="S37" s="13"/>
      <c r="T37" s="254">
        <f>ROUND(15*T$2/1000,0)</f>
        <v>26</v>
      </c>
      <c r="U37" s="255" t="s">
        <v>0</v>
      </c>
      <c r="V37" s="568"/>
      <c r="W37" s="97" t="s">
        <v>220</v>
      </c>
      <c r="X37" s="13" t="s">
        <v>221</v>
      </c>
      <c r="Y37" s="254">
        <v>4</v>
      </c>
      <c r="Z37" s="263" t="s">
        <v>27</v>
      </c>
      <c r="AA37" s="568"/>
      <c r="AB37" s="208" t="s">
        <v>298</v>
      </c>
      <c r="AC37" s="13"/>
      <c r="AD37" s="254">
        <v>9</v>
      </c>
      <c r="AE37" s="255" t="s">
        <v>0</v>
      </c>
      <c r="AF37" s="644"/>
      <c r="AG37" s="198"/>
      <c r="AH37" s="199"/>
      <c r="AI37" s="200"/>
      <c r="AJ37" s="197"/>
      <c r="AK37" s="91"/>
      <c r="AL37"/>
      <c r="AM37"/>
      <c r="AN37"/>
      <c r="AO37"/>
      <c r="AP37"/>
      <c r="AQ37"/>
      <c r="AR37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</row>
    <row r="38" spans="1:86" s="1" customFormat="1" ht="18" customHeight="1">
      <c r="A38" s="540"/>
      <c r="B38" s="644"/>
      <c r="C38" s="194"/>
      <c r="D38" s="195"/>
      <c r="E38" s="196"/>
      <c r="F38" s="197"/>
      <c r="G38" s="640"/>
      <c r="H38" s="97"/>
      <c r="I38" s="13"/>
      <c r="J38" s="254"/>
      <c r="K38" s="255" t="s">
        <v>0</v>
      </c>
      <c r="L38" s="568"/>
      <c r="M38" s="97" t="s">
        <v>165</v>
      </c>
      <c r="N38" s="13"/>
      <c r="O38" s="254">
        <v>4</v>
      </c>
      <c r="P38" s="263" t="s">
        <v>27</v>
      </c>
      <c r="Q38" s="568"/>
      <c r="R38" s="97" t="s">
        <v>6</v>
      </c>
      <c r="S38" s="13"/>
      <c r="T38" s="254">
        <f>ROUND(5*T2/1000,0)</f>
        <v>9</v>
      </c>
      <c r="U38" s="255" t="s">
        <v>0</v>
      </c>
      <c r="V38" s="568"/>
      <c r="W38" s="319" t="s">
        <v>182</v>
      </c>
      <c r="X38" s="113"/>
      <c r="Y38" s="256">
        <f>ROUND(30*22/1000,1)</f>
        <v>0.7</v>
      </c>
      <c r="Z38" s="255" t="s">
        <v>0</v>
      </c>
      <c r="AA38" s="568"/>
      <c r="AB38" s="329" t="s">
        <v>167</v>
      </c>
      <c r="AC38" s="113"/>
      <c r="AD38" s="256">
        <v>2</v>
      </c>
      <c r="AE38" s="255" t="s">
        <v>0</v>
      </c>
      <c r="AF38" s="644"/>
      <c r="AG38" s="198"/>
      <c r="AH38" s="199"/>
      <c r="AI38" s="200"/>
      <c r="AJ38" s="197"/>
      <c r="AK38" s="91"/>
      <c r="AL38"/>
      <c r="AM38"/>
      <c r="AN38"/>
      <c r="AO38"/>
      <c r="AP38"/>
      <c r="AQ38"/>
      <c r="AR38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</row>
    <row r="39" spans="1:86" s="1" customFormat="1" ht="18" customHeight="1">
      <c r="A39" s="540"/>
      <c r="B39" s="644"/>
      <c r="C39" s="194"/>
      <c r="D39" s="195"/>
      <c r="E39" s="196"/>
      <c r="F39" s="197"/>
      <c r="G39" s="640"/>
      <c r="H39" s="97"/>
      <c r="I39" s="13"/>
      <c r="J39" s="254"/>
      <c r="K39" s="255" t="s">
        <v>0</v>
      </c>
      <c r="L39" s="568"/>
      <c r="M39" s="97"/>
      <c r="N39" s="13"/>
      <c r="O39" s="254"/>
      <c r="P39" s="255" t="s">
        <v>0</v>
      </c>
      <c r="Q39" s="568"/>
      <c r="R39" s="97" t="s">
        <v>103</v>
      </c>
      <c r="S39" s="13"/>
      <c r="T39" s="254">
        <f>ROUND(20*T2/1000,0)</f>
        <v>35</v>
      </c>
      <c r="U39" s="255" t="s">
        <v>0</v>
      </c>
      <c r="V39" s="568"/>
      <c r="W39" s="319" t="s">
        <v>141</v>
      </c>
      <c r="X39" s="113"/>
      <c r="Y39" s="256">
        <f>ROUND(10*22/1000,1)</f>
        <v>0.2</v>
      </c>
      <c r="Z39" s="255" t="s">
        <v>0</v>
      </c>
      <c r="AA39" s="568"/>
      <c r="AB39" s="208"/>
      <c r="AC39" s="13"/>
      <c r="AD39" s="254"/>
      <c r="AE39" s="255" t="s">
        <v>0</v>
      </c>
      <c r="AF39" s="644"/>
      <c r="AG39" s="198"/>
      <c r="AH39" s="199"/>
      <c r="AI39" s="200"/>
      <c r="AJ39" s="197"/>
      <c r="AK39" s="91"/>
      <c r="AL39"/>
      <c r="AM39"/>
      <c r="AN39"/>
      <c r="AO39"/>
      <c r="AP39"/>
      <c r="AQ39"/>
      <c r="AR39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</row>
    <row r="40" spans="1:86" s="1" customFormat="1" ht="18" customHeight="1">
      <c r="A40" s="540"/>
      <c r="B40" s="644"/>
      <c r="C40" s="194"/>
      <c r="D40" s="195"/>
      <c r="E40" s="196"/>
      <c r="F40" s="197"/>
      <c r="G40" s="640"/>
      <c r="H40" s="97"/>
      <c r="I40" s="13"/>
      <c r="J40" s="254"/>
      <c r="K40" s="255" t="s">
        <v>0</v>
      </c>
      <c r="L40" s="568"/>
      <c r="M40" s="97"/>
      <c r="N40" s="13"/>
      <c r="O40" s="254"/>
      <c r="P40" s="255" t="s">
        <v>0</v>
      </c>
      <c r="Q40" s="568"/>
      <c r="R40" s="449" t="s">
        <v>373</v>
      </c>
      <c r="S40" s="113"/>
      <c r="T40" s="256">
        <v>1</v>
      </c>
      <c r="U40" s="255" t="s">
        <v>0</v>
      </c>
      <c r="V40" s="568"/>
      <c r="W40" s="97"/>
      <c r="X40" s="13"/>
      <c r="Y40" s="254"/>
      <c r="Z40" s="255" t="s">
        <v>0</v>
      </c>
      <c r="AA40" s="568"/>
      <c r="AB40" s="208"/>
      <c r="AC40" s="13"/>
      <c r="AD40" s="254"/>
      <c r="AE40" s="255" t="s">
        <v>0</v>
      </c>
      <c r="AF40" s="644"/>
      <c r="AG40" s="198"/>
      <c r="AH40" s="199"/>
      <c r="AI40" s="200"/>
      <c r="AJ40" s="197"/>
      <c r="AK40" s="91"/>
      <c r="AL40"/>
      <c r="AM40"/>
      <c r="AN40"/>
      <c r="AO40"/>
      <c r="AP40"/>
      <c r="AQ40"/>
      <c r="AR40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</row>
    <row r="41" spans="1:86" s="1" customFormat="1" ht="18" customHeight="1">
      <c r="A41" s="540"/>
      <c r="B41" s="644"/>
      <c r="C41" s="194"/>
      <c r="D41" s="195"/>
      <c r="E41" s="196"/>
      <c r="F41" s="197"/>
      <c r="G41" s="640"/>
      <c r="H41" s="97"/>
      <c r="I41" s="13"/>
      <c r="J41" s="254"/>
      <c r="K41" s="255" t="s">
        <v>0</v>
      </c>
      <c r="L41" s="568"/>
      <c r="M41" s="97"/>
      <c r="N41" s="13"/>
      <c r="O41" s="254"/>
      <c r="P41" s="255" t="s">
        <v>0</v>
      </c>
      <c r="Q41" s="568"/>
      <c r="R41" s="97"/>
      <c r="S41" s="13"/>
      <c r="T41" s="254"/>
      <c r="U41" s="255" t="s">
        <v>0</v>
      </c>
      <c r="V41" s="568"/>
      <c r="W41" s="97"/>
      <c r="X41" s="13"/>
      <c r="Y41" s="254"/>
      <c r="Z41" s="255" t="s">
        <v>0</v>
      </c>
      <c r="AA41" s="568"/>
      <c r="AB41" s="208"/>
      <c r="AC41" s="13"/>
      <c r="AD41" s="254"/>
      <c r="AE41" s="255" t="s">
        <v>0</v>
      </c>
      <c r="AF41" s="644"/>
      <c r="AG41" s="198"/>
      <c r="AH41" s="199"/>
      <c r="AI41" s="200"/>
      <c r="AJ41" s="197"/>
      <c r="AK41" s="91"/>
      <c r="AL41"/>
      <c r="AM41"/>
      <c r="AN41"/>
      <c r="AO41"/>
      <c r="AP41"/>
      <c r="AQ41"/>
      <c r="AR41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</row>
    <row r="42" spans="1:86" s="1" customFormat="1" ht="18" customHeight="1" thickBot="1">
      <c r="A42" s="540"/>
      <c r="B42" s="644"/>
      <c r="C42" s="194"/>
      <c r="D42" s="195"/>
      <c r="E42" s="196"/>
      <c r="F42" s="197"/>
      <c r="G42" s="640"/>
      <c r="H42" s="94"/>
      <c r="I42" s="14"/>
      <c r="J42" s="254"/>
      <c r="K42" s="257" t="s">
        <v>0</v>
      </c>
      <c r="L42" s="568"/>
      <c r="M42" s="94"/>
      <c r="N42" s="14"/>
      <c r="O42" s="254"/>
      <c r="P42" s="257" t="s">
        <v>0</v>
      </c>
      <c r="Q42" s="568"/>
      <c r="R42" s="94"/>
      <c r="S42" s="14"/>
      <c r="T42" s="254"/>
      <c r="U42" s="257" t="s">
        <v>0</v>
      </c>
      <c r="V42" s="568"/>
      <c r="W42" s="94"/>
      <c r="X42" s="14"/>
      <c r="Y42" s="254"/>
      <c r="Z42" s="257" t="s">
        <v>0</v>
      </c>
      <c r="AA42" s="568"/>
      <c r="AB42" s="208"/>
      <c r="AC42" s="13"/>
      <c r="AD42" s="254"/>
      <c r="AE42" s="255" t="s">
        <v>0</v>
      </c>
      <c r="AF42" s="644"/>
      <c r="AG42" s="198"/>
      <c r="AH42" s="199"/>
      <c r="AI42" s="200"/>
      <c r="AJ42" s="197"/>
      <c r="AK42" s="91"/>
      <c r="AL42"/>
      <c r="AM42"/>
      <c r="AN42"/>
      <c r="AO42"/>
      <c r="AP42"/>
      <c r="AQ42"/>
      <c r="AR42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</row>
    <row r="43" spans="1:86" s="1" customFormat="1" ht="18" hidden="1" customHeight="1" thickBot="1">
      <c r="A43" s="540"/>
      <c r="B43" s="644"/>
      <c r="C43" s="194"/>
      <c r="D43" s="195"/>
      <c r="E43" s="196"/>
      <c r="F43" s="197"/>
      <c r="G43" s="640"/>
      <c r="H43" s="95"/>
      <c r="I43" s="13"/>
      <c r="J43" s="254"/>
      <c r="K43" s="255"/>
      <c r="L43" s="568"/>
      <c r="M43" s="95"/>
      <c r="N43" s="13"/>
      <c r="O43" s="254"/>
      <c r="P43" s="255"/>
      <c r="Q43" s="568"/>
      <c r="R43" s="95"/>
      <c r="S43" s="13"/>
      <c r="T43" s="254"/>
      <c r="U43" s="255"/>
      <c r="V43" s="568"/>
      <c r="W43" s="95"/>
      <c r="X43" s="13"/>
      <c r="Y43" s="254"/>
      <c r="Z43" s="255"/>
      <c r="AA43" s="568"/>
      <c r="AB43" s="208"/>
      <c r="AC43" s="13"/>
      <c r="AD43" s="254"/>
      <c r="AE43" s="257" t="s">
        <v>0</v>
      </c>
      <c r="AF43" s="644"/>
      <c r="AG43" s="198"/>
      <c r="AH43" s="199"/>
      <c r="AI43" s="200"/>
      <c r="AJ43" s="197"/>
      <c r="AK43" s="91"/>
      <c r="AL43"/>
      <c r="AM43"/>
      <c r="AN43"/>
      <c r="AO43"/>
      <c r="AP43"/>
      <c r="AQ43"/>
      <c r="AR43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</row>
    <row r="44" spans="1:86" s="1" customFormat="1" ht="18" hidden="1" customHeight="1" thickBot="1">
      <c r="A44" s="540"/>
      <c r="B44" s="644"/>
      <c r="C44" s="194"/>
      <c r="D44" s="195"/>
      <c r="E44" s="196"/>
      <c r="F44" s="197"/>
      <c r="G44" s="640"/>
      <c r="H44" s="95"/>
      <c r="I44" s="13"/>
      <c r="J44" s="254"/>
      <c r="K44" s="255"/>
      <c r="L44" s="568"/>
      <c r="M44" s="95"/>
      <c r="N44" s="13"/>
      <c r="O44" s="254"/>
      <c r="P44" s="255"/>
      <c r="Q44" s="568"/>
      <c r="R44" s="95"/>
      <c r="S44" s="13"/>
      <c r="T44" s="254"/>
      <c r="U44" s="255"/>
      <c r="V44" s="568"/>
      <c r="W44" s="95"/>
      <c r="X44" s="13"/>
      <c r="Y44" s="254"/>
      <c r="Z44" s="255"/>
      <c r="AA44" s="568"/>
      <c r="AB44" s="208"/>
      <c r="AC44" s="13"/>
      <c r="AD44" s="254"/>
      <c r="AE44" s="255"/>
      <c r="AF44" s="644"/>
      <c r="AG44" s="198"/>
      <c r="AH44" s="199"/>
      <c r="AI44" s="200"/>
      <c r="AJ44" s="197"/>
      <c r="AK44" s="91"/>
      <c r="AL44"/>
      <c r="AM44"/>
      <c r="AN44"/>
      <c r="AO44"/>
      <c r="AP44"/>
      <c r="AQ44"/>
      <c r="AR4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</row>
    <row r="45" spans="1:86" s="1" customFormat="1" ht="18" hidden="1" customHeight="1">
      <c r="A45" s="540"/>
      <c r="B45" s="644"/>
      <c r="C45" s="194"/>
      <c r="D45" s="195"/>
      <c r="E45" s="196"/>
      <c r="F45" s="197"/>
      <c r="G45" s="640"/>
      <c r="H45" s="95"/>
      <c r="I45" s="13"/>
      <c r="J45" s="254"/>
      <c r="K45" s="255"/>
      <c r="L45" s="568"/>
      <c r="M45" s="95"/>
      <c r="N45" s="13"/>
      <c r="O45" s="254"/>
      <c r="P45" s="255"/>
      <c r="Q45" s="568"/>
      <c r="R45" s="95"/>
      <c r="S45" s="13"/>
      <c r="T45" s="254"/>
      <c r="U45" s="255"/>
      <c r="V45" s="568"/>
      <c r="W45" s="95"/>
      <c r="X45" s="13"/>
      <c r="Y45" s="254"/>
      <c r="Z45" s="255"/>
      <c r="AA45" s="568"/>
      <c r="AB45" s="208"/>
      <c r="AC45" s="13"/>
      <c r="AD45" s="254"/>
      <c r="AE45" s="255"/>
      <c r="AF45" s="644"/>
      <c r="AG45" s="198"/>
      <c r="AH45" s="199"/>
      <c r="AI45" s="200"/>
      <c r="AJ45" s="197"/>
      <c r="AK45" s="91"/>
      <c r="AL45"/>
      <c r="AM45"/>
      <c r="AN45"/>
      <c r="AO45"/>
      <c r="AP45"/>
      <c r="AQ45"/>
      <c r="AR45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</row>
    <row r="46" spans="1:86" s="1" customFormat="1" ht="18" hidden="1" customHeight="1">
      <c r="A46" s="540"/>
      <c r="B46" s="644"/>
      <c r="C46" s="194"/>
      <c r="D46" s="195"/>
      <c r="E46" s="196"/>
      <c r="F46" s="197"/>
      <c r="G46" s="640"/>
      <c r="H46" s="95"/>
      <c r="I46" s="13"/>
      <c r="J46" s="254"/>
      <c r="K46" s="255"/>
      <c r="L46" s="568"/>
      <c r="M46" s="95"/>
      <c r="N46" s="13"/>
      <c r="O46" s="254"/>
      <c r="P46" s="255"/>
      <c r="Q46" s="568"/>
      <c r="R46" s="95"/>
      <c r="S46" s="13"/>
      <c r="T46" s="254"/>
      <c r="U46" s="255"/>
      <c r="V46" s="568"/>
      <c r="W46" s="95"/>
      <c r="X46" s="13"/>
      <c r="Y46" s="254"/>
      <c r="Z46" s="255"/>
      <c r="AA46" s="568"/>
      <c r="AB46" s="208"/>
      <c r="AC46" s="13"/>
      <c r="AD46" s="254"/>
      <c r="AE46" s="255"/>
      <c r="AF46" s="644"/>
      <c r="AG46" s="198"/>
      <c r="AH46" s="199"/>
      <c r="AI46" s="200"/>
      <c r="AJ46" s="197"/>
      <c r="AK46" s="91"/>
      <c r="AL46"/>
      <c r="AM46"/>
      <c r="AN46"/>
      <c r="AO46"/>
      <c r="AP46"/>
      <c r="AQ46"/>
      <c r="AR46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</row>
    <row r="47" spans="1:86" s="1" customFormat="1" ht="18" hidden="1" customHeight="1">
      <c r="A47" s="540"/>
      <c r="B47" s="644"/>
      <c r="C47" s="194"/>
      <c r="D47" s="195"/>
      <c r="E47" s="196"/>
      <c r="F47" s="197"/>
      <c r="G47" s="640"/>
      <c r="H47" s="95"/>
      <c r="I47" s="13"/>
      <c r="J47" s="254"/>
      <c r="K47" s="255"/>
      <c r="L47" s="568"/>
      <c r="M47" s="95"/>
      <c r="N47" s="13"/>
      <c r="O47" s="254"/>
      <c r="P47" s="255"/>
      <c r="Q47" s="568"/>
      <c r="R47" s="95"/>
      <c r="S47" s="13"/>
      <c r="T47" s="254"/>
      <c r="U47" s="255"/>
      <c r="V47" s="568"/>
      <c r="W47" s="95"/>
      <c r="X47" s="13"/>
      <c r="Y47" s="254"/>
      <c r="Z47" s="255"/>
      <c r="AA47" s="568"/>
      <c r="AB47" s="208"/>
      <c r="AC47" s="13"/>
      <c r="AD47" s="254"/>
      <c r="AE47" s="255"/>
      <c r="AF47" s="644"/>
      <c r="AG47" s="198"/>
      <c r="AH47" s="199"/>
      <c r="AI47" s="200"/>
      <c r="AJ47" s="197"/>
      <c r="AK47" s="91"/>
      <c r="AL47"/>
      <c r="AM47"/>
      <c r="AN47"/>
      <c r="AO47"/>
      <c r="AP47"/>
      <c r="AQ47"/>
      <c r="AR47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</row>
    <row r="48" spans="1:86" s="1" customFormat="1" ht="18" hidden="1" customHeight="1">
      <c r="A48" s="541"/>
      <c r="B48" s="645"/>
      <c r="C48" s="201"/>
      <c r="D48" s="202"/>
      <c r="E48" s="203"/>
      <c r="F48" s="204"/>
      <c r="G48" s="641"/>
      <c r="H48" s="95"/>
      <c r="I48" s="13"/>
      <c r="J48" s="254"/>
      <c r="K48" s="257"/>
      <c r="L48" s="569"/>
      <c r="M48" s="95"/>
      <c r="N48" s="13"/>
      <c r="O48" s="254"/>
      <c r="P48" s="257"/>
      <c r="Q48" s="569"/>
      <c r="R48" s="95"/>
      <c r="S48" s="13"/>
      <c r="T48" s="254"/>
      <c r="U48" s="257"/>
      <c r="V48" s="569"/>
      <c r="W48" s="95"/>
      <c r="X48" s="13"/>
      <c r="Y48" s="254"/>
      <c r="Z48" s="257"/>
      <c r="AA48" s="569"/>
      <c r="AB48" s="323"/>
      <c r="AC48" s="14"/>
      <c r="AD48" s="261"/>
      <c r="AE48" s="257"/>
      <c r="AF48" s="645"/>
      <c r="AG48" s="205"/>
      <c r="AH48" s="206"/>
      <c r="AI48" s="207"/>
      <c r="AJ48" s="204"/>
      <c r="AK48" s="91"/>
      <c r="AL48"/>
      <c r="AM48"/>
      <c r="AN48"/>
      <c r="AO48"/>
      <c r="AP48"/>
      <c r="AQ48"/>
      <c r="AR48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</row>
    <row r="49" spans="1:86" s="1" customFormat="1" ht="18" customHeight="1">
      <c r="A49" s="539" t="s">
        <v>49</v>
      </c>
      <c r="B49" s="643"/>
      <c r="C49" s="187"/>
      <c r="D49" s="188"/>
      <c r="E49" s="189"/>
      <c r="F49" s="190"/>
      <c r="G49" s="561"/>
      <c r="H49" s="575" t="s">
        <v>388</v>
      </c>
      <c r="I49" s="576"/>
      <c r="J49" s="576"/>
      <c r="K49" s="577"/>
      <c r="L49" s="561"/>
      <c r="M49" s="99"/>
      <c r="N49" s="9"/>
      <c r="O49" s="253"/>
      <c r="P49" s="267"/>
      <c r="Q49" s="567" t="s">
        <v>242</v>
      </c>
      <c r="R49" s="99" t="s">
        <v>242</v>
      </c>
      <c r="S49" s="9"/>
      <c r="T49" s="253">
        <f>T2*1.02</f>
        <v>1793.16</v>
      </c>
      <c r="U49" s="262" t="s">
        <v>135</v>
      </c>
      <c r="V49" s="561"/>
      <c r="W49" s="99"/>
      <c r="X49" s="9"/>
      <c r="Y49" s="253"/>
      <c r="Z49" s="267"/>
      <c r="AA49" s="561"/>
      <c r="AB49" s="99"/>
      <c r="AC49" s="9"/>
      <c r="AD49" s="253"/>
      <c r="AE49" s="267"/>
      <c r="AF49" s="643"/>
      <c r="AG49" s="191"/>
      <c r="AH49" s="192"/>
      <c r="AI49" s="193"/>
      <c r="AJ49" s="190"/>
      <c r="AK49" s="91"/>
      <c r="AL49"/>
      <c r="AM49"/>
      <c r="AN49"/>
      <c r="AO49"/>
      <c r="AP49"/>
      <c r="AQ49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</row>
    <row r="50" spans="1:86" s="1" customFormat="1" ht="18" customHeight="1">
      <c r="A50" s="540"/>
      <c r="B50" s="644"/>
      <c r="C50" s="194"/>
      <c r="D50" s="195"/>
      <c r="E50" s="196"/>
      <c r="F50" s="197"/>
      <c r="G50" s="562"/>
      <c r="H50" s="578"/>
      <c r="I50" s="579"/>
      <c r="J50" s="579"/>
      <c r="K50" s="580"/>
      <c r="L50" s="562"/>
      <c r="M50" s="95"/>
      <c r="N50" s="13"/>
      <c r="O50" s="254"/>
      <c r="P50" s="255"/>
      <c r="Q50" s="568"/>
      <c r="R50" s="95"/>
      <c r="S50" s="13"/>
      <c r="T50" s="254"/>
      <c r="U50" s="263"/>
      <c r="V50" s="562"/>
      <c r="W50" s="95"/>
      <c r="X50" s="13"/>
      <c r="Y50" s="254"/>
      <c r="Z50" s="255"/>
      <c r="AA50" s="562"/>
      <c r="AB50" s="95"/>
      <c r="AC50" s="13"/>
      <c r="AD50" s="254"/>
      <c r="AE50" s="255"/>
      <c r="AF50" s="644"/>
      <c r="AG50" s="198"/>
      <c r="AH50" s="199"/>
      <c r="AI50" s="200"/>
      <c r="AJ50" s="197"/>
      <c r="AK50" s="91"/>
      <c r="AL50"/>
      <c r="AM50"/>
      <c r="AN50"/>
      <c r="AO50"/>
      <c r="AP50"/>
      <c r="AQ50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</row>
    <row r="51" spans="1:86" s="1" customFormat="1" ht="18" customHeight="1">
      <c r="A51" s="540"/>
      <c r="B51" s="644"/>
      <c r="C51" s="194"/>
      <c r="D51" s="195"/>
      <c r="E51" s="196"/>
      <c r="F51" s="197"/>
      <c r="G51" s="562"/>
      <c r="H51" s="578"/>
      <c r="I51" s="579"/>
      <c r="J51" s="579"/>
      <c r="K51" s="580"/>
      <c r="L51" s="562"/>
      <c r="M51" s="95"/>
      <c r="N51" s="13"/>
      <c r="O51" s="254"/>
      <c r="P51" s="255"/>
      <c r="Q51" s="568"/>
      <c r="R51" s="95"/>
      <c r="S51" s="13"/>
      <c r="T51" s="254"/>
      <c r="U51" s="255"/>
      <c r="V51" s="562"/>
      <c r="W51" s="95"/>
      <c r="X51" s="13"/>
      <c r="Y51" s="254"/>
      <c r="Z51" s="255"/>
      <c r="AA51" s="562"/>
      <c r="AB51" s="95"/>
      <c r="AC51" s="13"/>
      <c r="AD51" s="254"/>
      <c r="AE51" s="255"/>
      <c r="AF51" s="644"/>
      <c r="AG51" s="198"/>
      <c r="AH51" s="199"/>
      <c r="AI51" s="200"/>
      <c r="AJ51" s="197"/>
      <c r="AK51" s="91"/>
      <c r="AL51"/>
      <c r="AM51"/>
      <c r="AN51"/>
      <c r="AO51"/>
      <c r="AP51"/>
      <c r="AQ51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</row>
    <row r="52" spans="1:86" s="1" customFormat="1" ht="18" customHeight="1" thickBot="1">
      <c r="A52" s="540"/>
      <c r="B52" s="644"/>
      <c r="C52" s="194"/>
      <c r="D52" s="195"/>
      <c r="E52" s="196"/>
      <c r="F52" s="197"/>
      <c r="G52" s="562"/>
      <c r="H52" s="578"/>
      <c r="I52" s="579"/>
      <c r="J52" s="579"/>
      <c r="K52" s="580"/>
      <c r="L52" s="562"/>
      <c r="M52" s="95"/>
      <c r="N52" s="13"/>
      <c r="O52" s="254"/>
      <c r="P52" s="255"/>
      <c r="Q52" s="568"/>
      <c r="R52" s="95"/>
      <c r="S52" s="13"/>
      <c r="T52" s="254"/>
      <c r="U52" s="255"/>
      <c r="V52" s="562"/>
      <c r="W52" s="95"/>
      <c r="X52" s="13"/>
      <c r="Y52" s="254"/>
      <c r="Z52" s="255"/>
      <c r="AA52" s="562"/>
      <c r="AB52" s="95"/>
      <c r="AC52" s="13"/>
      <c r="AD52" s="254"/>
      <c r="AE52" s="255"/>
      <c r="AF52" s="644"/>
      <c r="AG52" s="198"/>
      <c r="AH52" s="199"/>
      <c r="AI52" s="200"/>
      <c r="AJ52" s="197"/>
      <c r="AK52" s="91"/>
      <c r="AL52"/>
      <c r="AM52"/>
      <c r="AN52"/>
      <c r="AO52"/>
      <c r="AP52"/>
      <c r="AQ52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</row>
    <row r="53" spans="1:86" s="1" customFormat="1" ht="18" hidden="1" customHeight="1" thickBot="1">
      <c r="A53" s="540"/>
      <c r="B53" s="644"/>
      <c r="C53" s="194"/>
      <c r="D53" s="195"/>
      <c r="E53" s="196"/>
      <c r="F53" s="197"/>
      <c r="G53" s="562"/>
      <c r="H53" s="97"/>
      <c r="I53" s="13"/>
      <c r="J53" s="254"/>
      <c r="K53" s="255"/>
      <c r="L53" s="562"/>
      <c r="M53" s="95"/>
      <c r="N53" s="13"/>
      <c r="O53" s="254"/>
      <c r="P53" s="255"/>
      <c r="Q53" s="568"/>
      <c r="R53" s="95"/>
      <c r="S53" s="13"/>
      <c r="T53" s="254"/>
      <c r="U53" s="255"/>
      <c r="V53" s="562"/>
      <c r="W53" s="95"/>
      <c r="X53" s="13"/>
      <c r="Y53" s="254"/>
      <c r="Z53" s="255"/>
      <c r="AA53" s="562"/>
      <c r="AB53" s="95"/>
      <c r="AC53" s="13"/>
      <c r="AD53" s="254"/>
      <c r="AE53" s="255"/>
      <c r="AF53" s="644"/>
      <c r="AG53" s="198"/>
      <c r="AH53" s="199"/>
      <c r="AI53" s="200"/>
      <c r="AJ53" s="197"/>
      <c r="AK53" s="91"/>
      <c r="AL53"/>
      <c r="AM53"/>
      <c r="AN53"/>
      <c r="AO53"/>
      <c r="AP53"/>
      <c r="AQ53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</row>
    <row r="54" spans="1:86" s="1" customFormat="1" ht="18" hidden="1" customHeight="1">
      <c r="A54" s="540"/>
      <c r="B54" s="644"/>
      <c r="C54" s="194"/>
      <c r="D54" s="195"/>
      <c r="E54" s="196"/>
      <c r="F54" s="197"/>
      <c r="G54" s="562"/>
      <c r="H54" s="97"/>
      <c r="I54" s="13"/>
      <c r="J54" s="254"/>
      <c r="K54" s="255"/>
      <c r="L54" s="562"/>
      <c r="M54" s="95"/>
      <c r="N54" s="13"/>
      <c r="O54" s="254"/>
      <c r="P54" s="255"/>
      <c r="Q54" s="568"/>
      <c r="R54" s="95"/>
      <c r="S54" s="13"/>
      <c r="T54" s="254"/>
      <c r="U54" s="255"/>
      <c r="V54" s="562"/>
      <c r="W54" s="95"/>
      <c r="X54" s="13"/>
      <c r="Y54" s="254"/>
      <c r="Z54" s="255"/>
      <c r="AA54" s="562"/>
      <c r="AB54" s="95"/>
      <c r="AC54" s="13"/>
      <c r="AD54" s="254"/>
      <c r="AE54" s="255"/>
      <c r="AF54" s="644"/>
      <c r="AG54" s="198"/>
      <c r="AH54" s="199"/>
      <c r="AI54" s="200"/>
      <c r="AJ54" s="197"/>
      <c r="AK54" s="91"/>
      <c r="AL54"/>
      <c r="AM54"/>
      <c r="AN54"/>
      <c r="AO54"/>
      <c r="AP54"/>
      <c r="AQ5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</row>
    <row r="55" spans="1:86" s="1" customFormat="1" ht="18" hidden="1" customHeight="1">
      <c r="A55" s="540"/>
      <c r="B55" s="644"/>
      <c r="C55" s="194"/>
      <c r="D55" s="195"/>
      <c r="E55" s="196"/>
      <c r="F55" s="197"/>
      <c r="G55" s="562"/>
      <c r="H55" s="97"/>
      <c r="I55" s="13"/>
      <c r="J55" s="254"/>
      <c r="K55" s="255"/>
      <c r="L55" s="562"/>
      <c r="M55" s="95"/>
      <c r="N55" s="13"/>
      <c r="O55" s="254"/>
      <c r="P55" s="255"/>
      <c r="Q55" s="568"/>
      <c r="R55" s="95"/>
      <c r="S55" s="13"/>
      <c r="T55" s="254"/>
      <c r="U55" s="255"/>
      <c r="V55" s="562"/>
      <c r="W55" s="95"/>
      <c r="X55" s="13"/>
      <c r="Y55" s="254"/>
      <c r="Z55" s="255"/>
      <c r="AA55" s="562"/>
      <c r="AB55" s="95"/>
      <c r="AC55" s="13"/>
      <c r="AD55" s="254"/>
      <c r="AE55" s="255"/>
      <c r="AF55" s="644"/>
      <c r="AG55" s="198"/>
      <c r="AH55" s="199"/>
      <c r="AI55" s="200"/>
      <c r="AJ55" s="197"/>
      <c r="AK55" s="91"/>
      <c r="AL55"/>
      <c r="AM55"/>
      <c r="AN55"/>
      <c r="AO55"/>
      <c r="AP55"/>
      <c r="AQ55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</row>
    <row r="56" spans="1:86" s="1" customFormat="1" ht="18" hidden="1" customHeight="1">
      <c r="A56" s="540"/>
      <c r="B56" s="644"/>
      <c r="C56" s="194"/>
      <c r="D56" s="195"/>
      <c r="E56" s="196"/>
      <c r="F56" s="197"/>
      <c r="G56" s="562"/>
      <c r="H56" s="97"/>
      <c r="I56" s="13"/>
      <c r="J56" s="254"/>
      <c r="K56" s="255"/>
      <c r="L56" s="562"/>
      <c r="M56" s="95"/>
      <c r="N56" s="13"/>
      <c r="O56" s="254"/>
      <c r="P56" s="255"/>
      <c r="Q56" s="568"/>
      <c r="R56" s="95"/>
      <c r="S56" s="13"/>
      <c r="T56" s="254"/>
      <c r="U56" s="255"/>
      <c r="V56" s="562"/>
      <c r="W56" s="95"/>
      <c r="X56" s="13"/>
      <c r="Y56" s="254"/>
      <c r="Z56" s="255"/>
      <c r="AA56" s="562"/>
      <c r="AB56" s="95"/>
      <c r="AC56" s="13"/>
      <c r="AD56" s="254"/>
      <c r="AE56" s="255"/>
      <c r="AF56" s="644"/>
      <c r="AG56" s="198"/>
      <c r="AH56" s="199"/>
      <c r="AI56" s="200"/>
      <c r="AJ56" s="197"/>
      <c r="AK56" s="91"/>
      <c r="AL56"/>
      <c r="AM56"/>
      <c r="AN56"/>
      <c r="AO56"/>
      <c r="AP56"/>
      <c r="AQ56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</row>
    <row r="57" spans="1:86" s="1" customFormat="1" ht="18" hidden="1" customHeight="1">
      <c r="A57" s="540"/>
      <c r="B57" s="644"/>
      <c r="C57" s="194"/>
      <c r="D57" s="195"/>
      <c r="E57" s="196"/>
      <c r="F57" s="197"/>
      <c r="G57" s="562"/>
      <c r="H57" s="97"/>
      <c r="I57" s="13"/>
      <c r="J57" s="254"/>
      <c r="K57" s="255"/>
      <c r="L57" s="562"/>
      <c r="M57" s="95"/>
      <c r="N57" s="13"/>
      <c r="O57" s="254"/>
      <c r="P57" s="255"/>
      <c r="Q57" s="568"/>
      <c r="R57" s="95"/>
      <c r="S57" s="13"/>
      <c r="T57" s="254"/>
      <c r="U57" s="255"/>
      <c r="V57" s="562"/>
      <c r="W57" s="95"/>
      <c r="X57" s="13"/>
      <c r="Y57" s="254"/>
      <c r="Z57" s="255"/>
      <c r="AA57" s="562"/>
      <c r="AB57" s="95"/>
      <c r="AC57" s="13"/>
      <c r="AD57" s="254"/>
      <c r="AE57" s="255"/>
      <c r="AF57" s="644"/>
      <c r="AG57" s="198"/>
      <c r="AH57" s="199"/>
      <c r="AI57" s="200"/>
      <c r="AJ57" s="197"/>
      <c r="AK57" s="91"/>
      <c r="AL57"/>
      <c r="AM57"/>
      <c r="AN57"/>
      <c r="AO57"/>
      <c r="AP57"/>
      <c r="AQ57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</row>
    <row r="58" spans="1:86" s="1" customFormat="1" ht="18" hidden="1" customHeight="1">
      <c r="A58" s="540"/>
      <c r="B58" s="644"/>
      <c r="C58" s="194"/>
      <c r="D58" s="195"/>
      <c r="E58" s="196"/>
      <c r="F58" s="197"/>
      <c r="G58" s="562"/>
      <c r="H58" s="97"/>
      <c r="I58" s="13"/>
      <c r="J58" s="254"/>
      <c r="K58" s="255"/>
      <c r="L58" s="562"/>
      <c r="M58" s="95"/>
      <c r="N58" s="13"/>
      <c r="O58" s="254"/>
      <c r="P58" s="255"/>
      <c r="Q58" s="568"/>
      <c r="R58" s="95"/>
      <c r="S58" s="13"/>
      <c r="T58" s="254"/>
      <c r="U58" s="255"/>
      <c r="V58" s="562"/>
      <c r="W58" s="95"/>
      <c r="X58" s="13"/>
      <c r="Y58" s="254"/>
      <c r="Z58" s="255"/>
      <c r="AA58" s="562"/>
      <c r="AB58" s="95"/>
      <c r="AC58" s="13"/>
      <c r="AD58" s="254"/>
      <c r="AE58" s="255"/>
      <c r="AF58" s="644"/>
      <c r="AG58" s="198"/>
      <c r="AH58" s="199"/>
      <c r="AI58" s="200"/>
      <c r="AJ58" s="197"/>
      <c r="AK58" s="91"/>
      <c r="AL58"/>
      <c r="AM58"/>
      <c r="AN58"/>
      <c r="AO58"/>
      <c r="AP58"/>
      <c r="AQ58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</row>
    <row r="59" spans="1:86" s="1" customFormat="1" ht="18" hidden="1" customHeight="1">
      <c r="A59" s="540"/>
      <c r="B59" s="644"/>
      <c r="C59" s="194"/>
      <c r="D59" s="195"/>
      <c r="E59" s="196"/>
      <c r="F59" s="197"/>
      <c r="G59" s="562"/>
      <c r="H59" s="97"/>
      <c r="I59" s="13"/>
      <c r="J59" s="254"/>
      <c r="K59" s="255"/>
      <c r="L59" s="562"/>
      <c r="M59" s="95"/>
      <c r="N59" s="13"/>
      <c r="O59" s="254"/>
      <c r="P59" s="255"/>
      <c r="Q59" s="568"/>
      <c r="R59" s="95"/>
      <c r="S59" s="13"/>
      <c r="T59" s="254"/>
      <c r="U59" s="255"/>
      <c r="V59" s="562"/>
      <c r="W59" s="95"/>
      <c r="X59" s="13"/>
      <c r="Y59" s="254"/>
      <c r="Z59" s="255"/>
      <c r="AA59" s="562"/>
      <c r="AB59" s="95"/>
      <c r="AC59" s="13"/>
      <c r="AD59" s="254"/>
      <c r="AE59" s="255"/>
      <c r="AF59" s="644"/>
      <c r="AG59" s="198"/>
      <c r="AH59" s="199"/>
      <c r="AI59" s="200"/>
      <c r="AJ59" s="197"/>
      <c r="AK59" s="91"/>
      <c r="AL59"/>
      <c r="AM59"/>
      <c r="AN59"/>
      <c r="AO59"/>
      <c r="AP59"/>
      <c r="AQ59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</row>
    <row r="60" spans="1:86" s="1" customFormat="1" ht="18" hidden="1" customHeight="1">
      <c r="A60" s="540"/>
      <c r="B60" s="644"/>
      <c r="C60" s="194"/>
      <c r="D60" s="195"/>
      <c r="E60" s="196"/>
      <c r="F60" s="197"/>
      <c r="G60" s="562"/>
      <c r="H60" s="97"/>
      <c r="I60" s="13"/>
      <c r="J60" s="254"/>
      <c r="K60" s="255"/>
      <c r="L60" s="562"/>
      <c r="M60" s="95"/>
      <c r="N60" s="13"/>
      <c r="O60" s="254"/>
      <c r="P60" s="255"/>
      <c r="Q60" s="568"/>
      <c r="R60" s="95"/>
      <c r="S60" s="13"/>
      <c r="T60" s="254"/>
      <c r="U60" s="255"/>
      <c r="V60" s="562"/>
      <c r="W60" s="95"/>
      <c r="X60" s="13"/>
      <c r="Y60" s="254"/>
      <c r="Z60" s="255"/>
      <c r="AA60" s="562"/>
      <c r="AB60" s="95"/>
      <c r="AC60" s="13"/>
      <c r="AD60" s="254"/>
      <c r="AE60" s="255"/>
      <c r="AF60" s="644"/>
      <c r="AG60" s="198"/>
      <c r="AH60" s="199"/>
      <c r="AI60" s="200"/>
      <c r="AJ60" s="197"/>
      <c r="AK60" s="91"/>
      <c r="AL60"/>
      <c r="AM60"/>
      <c r="AN60"/>
      <c r="AO60"/>
      <c r="AP60"/>
      <c r="AQ60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</row>
    <row r="61" spans="1:86" s="1" customFormat="1" ht="18" hidden="1" customHeight="1">
      <c r="A61" s="540"/>
      <c r="B61" s="644"/>
      <c r="C61" s="194"/>
      <c r="D61" s="195"/>
      <c r="E61" s="196"/>
      <c r="F61" s="197"/>
      <c r="G61" s="562"/>
      <c r="H61" s="97"/>
      <c r="I61" s="13"/>
      <c r="J61" s="254"/>
      <c r="K61" s="255"/>
      <c r="L61" s="562"/>
      <c r="M61" s="95"/>
      <c r="N61" s="13"/>
      <c r="O61" s="254"/>
      <c r="P61" s="255"/>
      <c r="Q61" s="568"/>
      <c r="R61" s="95"/>
      <c r="S61" s="13"/>
      <c r="T61" s="254"/>
      <c r="U61" s="255"/>
      <c r="V61" s="562"/>
      <c r="W61" s="95"/>
      <c r="X61" s="13"/>
      <c r="Y61" s="254"/>
      <c r="Z61" s="255"/>
      <c r="AA61" s="562"/>
      <c r="AB61" s="95"/>
      <c r="AC61" s="13"/>
      <c r="AD61" s="254"/>
      <c r="AE61" s="255"/>
      <c r="AF61" s="644"/>
      <c r="AG61" s="198"/>
      <c r="AH61" s="199"/>
      <c r="AI61" s="200"/>
      <c r="AJ61" s="197"/>
      <c r="AK61" s="91"/>
      <c r="AL61"/>
      <c r="AM61"/>
      <c r="AN61"/>
      <c r="AO61"/>
      <c r="AP61"/>
      <c r="AQ61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</row>
    <row r="62" spans="1:86" s="1" customFormat="1" ht="18" hidden="1" customHeight="1">
      <c r="A62" s="540"/>
      <c r="B62" s="644"/>
      <c r="C62" s="194"/>
      <c r="D62" s="195"/>
      <c r="E62" s="196"/>
      <c r="F62" s="197"/>
      <c r="G62" s="562"/>
      <c r="H62" s="97"/>
      <c r="I62" s="13"/>
      <c r="J62" s="254"/>
      <c r="K62" s="255"/>
      <c r="L62" s="562"/>
      <c r="M62" s="95"/>
      <c r="N62" s="13"/>
      <c r="O62" s="254"/>
      <c r="P62" s="255"/>
      <c r="Q62" s="568"/>
      <c r="R62" s="95"/>
      <c r="S62" s="13"/>
      <c r="T62" s="254"/>
      <c r="U62" s="255"/>
      <c r="V62" s="562"/>
      <c r="W62" s="95"/>
      <c r="X62" s="13"/>
      <c r="Y62" s="254"/>
      <c r="Z62" s="255"/>
      <c r="AA62" s="562"/>
      <c r="AB62" s="95"/>
      <c r="AC62" s="13"/>
      <c r="AD62" s="254"/>
      <c r="AE62" s="255"/>
      <c r="AF62" s="644"/>
      <c r="AG62" s="198"/>
      <c r="AH62" s="199"/>
      <c r="AI62" s="200"/>
      <c r="AJ62" s="197"/>
      <c r="AK62" s="91"/>
      <c r="AL62"/>
      <c r="AM62"/>
      <c r="AN62"/>
      <c r="AO62"/>
      <c r="AP62"/>
      <c r="AQ62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</row>
    <row r="63" spans="1:86" s="1" customFormat="1" ht="18" hidden="1" customHeight="1">
      <c r="A63" s="541"/>
      <c r="B63" s="645"/>
      <c r="C63" s="201"/>
      <c r="D63" s="202"/>
      <c r="E63" s="203"/>
      <c r="F63" s="204"/>
      <c r="G63" s="563"/>
      <c r="H63" s="94"/>
      <c r="I63" s="14"/>
      <c r="J63" s="261"/>
      <c r="K63" s="257"/>
      <c r="L63" s="563"/>
      <c r="M63" s="96"/>
      <c r="N63" s="14"/>
      <c r="O63" s="261"/>
      <c r="P63" s="257"/>
      <c r="Q63" s="569"/>
      <c r="R63" s="96"/>
      <c r="S63" s="14"/>
      <c r="T63" s="261"/>
      <c r="U63" s="257"/>
      <c r="V63" s="563"/>
      <c r="W63" s="96"/>
      <c r="X63" s="14"/>
      <c r="Y63" s="261"/>
      <c r="Z63" s="257"/>
      <c r="AA63" s="563"/>
      <c r="AB63" s="96"/>
      <c r="AC63" s="14"/>
      <c r="AD63" s="261"/>
      <c r="AE63" s="257"/>
      <c r="AF63" s="645"/>
      <c r="AG63" s="205"/>
      <c r="AH63" s="206"/>
      <c r="AI63" s="207"/>
      <c r="AJ63" s="204"/>
      <c r="AK63" s="91"/>
      <c r="AL63"/>
      <c r="AM63"/>
      <c r="AN63"/>
      <c r="AO63"/>
      <c r="AP63"/>
      <c r="AQ63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</row>
    <row r="64" spans="1:86" s="1" customFormat="1" ht="18" hidden="1" customHeight="1">
      <c r="A64" s="539" t="s">
        <v>50</v>
      </c>
      <c r="B64" s="643"/>
      <c r="C64" s="187"/>
      <c r="D64" s="188"/>
      <c r="E64" s="189"/>
      <c r="F64" s="190"/>
      <c r="G64" s="586"/>
      <c r="H64" s="95"/>
      <c r="I64" s="13"/>
      <c r="J64" s="254"/>
      <c r="K64" s="255"/>
      <c r="L64" s="562"/>
      <c r="M64" s="95"/>
      <c r="N64" s="13"/>
      <c r="O64" s="254"/>
      <c r="P64" s="255"/>
      <c r="Q64" s="562"/>
      <c r="R64" s="95"/>
      <c r="S64" s="13"/>
      <c r="T64" s="254"/>
      <c r="U64" s="255"/>
      <c r="V64" s="562"/>
      <c r="W64" s="95"/>
      <c r="X64" s="13"/>
      <c r="Y64" s="254"/>
      <c r="Z64" s="255"/>
      <c r="AA64" s="562"/>
      <c r="AB64" s="95"/>
      <c r="AC64" s="13"/>
      <c r="AD64" s="254"/>
      <c r="AE64" s="255"/>
      <c r="AF64" s="643"/>
      <c r="AG64" s="191"/>
      <c r="AH64" s="192"/>
      <c r="AI64" s="193"/>
      <c r="AJ64" s="190"/>
      <c r="AK64" s="91"/>
      <c r="AL64"/>
      <c r="AM64"/>
      <c r="AN64"/>
      <c r="AO64"/>
      <c r="AP64"/>
      <c r="AQ6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</row>
    <row r="65" spans="1:86" s="1" customFormat="1" ht="18" hidden="1" customHeight="1">
      <c r="A65" s="540"/>
      <c r="B65" s="644"/>
      <c r="C65" s="194"/>
      <c r="D65" s="195"/>
      <c r="E65" s="196"/>
      <c r="F65" s="197"/>
      <c r="G65" s="587"/>
      <c r="H65" s="95"/>
      <c r="I65" s="13"/>
      <c r="J65" s="254"/>
      <c r="K65" s="255"/>
      <c r="L65" s="562"/>
      <c r="M65" s="95"/>
      <c r="N65" s="13"/>
      <c r="O65" s="254"/>
      <c r="P65" s="255"/>
      <c r="Q65" s="562"/>
      <c r="R65" s="95"/>
      <c r="S65" s="13"/>
      <c r="T65" s="254"/>
      <c r="U65" s="255"/>
      <c r="V65" s="562"/>
      <c r="W65" s="95"/>
      <c r="X65" s="13"/>
      <c r="Y65" s="254"/>
      <c r="Z65" s="255"/>
      <c r="AA65" s="562"/>
      <c r="AB65" s="95"/>
      <c r="AC65" s="13"/>
      <c r="AD65" s="254"/>
      <c r="AE65" s="255"/>
      <c r="AF65" s="644"/>
      <c r="AG65" s="198"/>
      <c r="AH65" s="199"/>
      <c r="AI65" s="200"/>
      <c r="AJ65" s="197"/>
      <c r="AK65" s="91"/>
      <c r="AL65"/>
      <c r="AM65"/>
      <c r="AN65"/>
      <c r="AO65"/>
      <c r="AP65"/>
      <c r="AQ65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</row>
    <row r="66" spans="1:86" s="1" customFormat="1" ht="18" hidden="1" customHeight="1">
      <c r="A66" s="540"/>
      <c r="B66" s="644"/>
      <c r="C66" s="194"/>
      <c r="D66" s="195"/>
      <c r="E66" s="196"/>
      <c r="F66" s="197"/>
      <c r="G66" s="587"/>
      <c r="H66" s="95"/>
      <c r="I66" s="13"/>
      <c r="J66" s="254"/>
      <c r="K66" s="255"/>
      <c r="L66" s="562"/>
      <c r="M66" s="95"/>
      <c r="N66" s="13"/>
      <c r="O66" s="254"/>
      <c r="P66" s="255"/>
      <c r="Q66" s="562"/>
      <c r="R66" s="95"/>
      <c r="S66" s="13"/>
      <c r="T66" s="254"/>
      <c r="U66" s="255"/>
      <c r="V66" s="562"/>
      <c r="W66" s="95"/>
      <c r="X66" s="13"/>
      <c r="Y66" s="254"/>
      <c r="Z66" s="255"/>
      <c r="AA66" s="562"/>
      <c r="AB66" s="95"/>
      <c r="AC66" s="13"/>
      <c r="AD66" s="254"/>
      <c r="AE66" s="255"/>
      <c r="AF66" s="644"/>
      <c r="AG66" s="198"/>
      <c r="AH66" s="199"/>
      <c r="AI66" s="200"/>
      <c r="AJ66" s="197"/>
      <c r="AK66" s="91"/>
      <c r="AL66"/>
      <c r="AM66"/>
      <c r="AN66"/>
      <c r="AO66"/>
      <c r="AP66"/>
      <c r="AQ66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</row>
    <row r="67" spans="1:86" s="1" customFormat="1" ht="18" hidden="1" customHeight="1">
      <c r="A67" s="540"/>
      <c r="B67" s="644"/>
      <c r="C67" s="194"/>
      <c r="D67" s="195"/>
      <c r="E67" s="196"/>
      <c r="F67" s="197"/>
      <c r="G67" s="587"/>
      <c r="H67" s="95"/>
      <c r="I67" s="13"/>
      <c r="J67" s="254"/>
      <c r="K67" s="255"/>
      <c r="L67" s="562"/>
      <c r="M67" s="95"/>
      <c r="N67" s="13"/>
      <c r="O67" s="254"/>
      <c r="P67" s="255"/>
      <c r="Q67" s="562"/>
      <c r="R67" s="95"/>
      <c r="S67" s="13"/>
      <c r="T67" s="254"/>
      <c r="U67" s="255"/>
      <c r="V67" s="562"/>
      <c r="W67" s="95"/>
      <c r="X67" s="13"/>
      <c r="Y67" s="254"/>
      <c r="Z67" s="255"/>
      <c r="AA67" s="562"/>
      <c r="AB67" s="95"/>
      <c r="AC67" s="13"/>
      <c r="AD67" s="254"/>
      <c r="AE67" s="255"/>
      <c r="AF67" s="644"/>
      <c r="AG67" s="198"/>
      <c r="AH67" s="199"/>
      <c r="AI67" s="200"/>
      <c r="AJ67" s="197"/>
      <c r="AK67" s="91"/>
      <c r="AL67"/>
      <c r="AM67"/>
      <c r="AN67"/>
      <c r="AO67"/>
      <c r="AP67"/>
      <c r="AQ67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</row>
    <row r="68" spans="1:86" s="1" customFormat="1" ht="18" hidden="1" customHeight="1">
      <c r="A68" s="540"/>
      <c r="B68" s="644"/>
      <c r="C68" s="194"/>
      <c r="D68" s="195"/>
      <c r="E68" s="196"/>
      <c r="F68" s="197"/>
      <c r="G68" s="587"/>
      <c r="H68" s="95"/>
      <c r="I68" s="13"/>
      <c r="J68" s="254"/>
      <c r="K68" s="255"/>
      <c r="L68" s="562"/>
      <c r="M68" s="95"/>
      <c r="N68" s="13"/>
      <c r="O68" s="254"/>
      <c r="P68" s="255"/>
      <c r="Q68" s="562"/>
      <c r="R68" s="95"/>
      <c r="S68" s="13"/>
      <c r="T68" s="254"/>
      <c r="U68" s="255"/>
      <c r="V68" s="562"/>
      <c r="W68" s="95"/>
      <c r="X68" s="13"/>
      <c r="Y68" s="254"/>
      <c r="Z68" s="255"/>
      <c r="AA68" s="562"/>
      <c r="AB68" s="95"/>
      <c r="AC68" s="13"/>
      <c r="AD68" s="254"/>
      <c r="AE68" s="255"/>
      <c r="AF68" s="644"/>
      <c r="AG68" s="198"/>
      <c r="AH68" s="199"/>
      <c r="AI68" s="200"/>
      <c r="AJ68" s="197"/>
      <c r="AK68" s="91"/>
      <c r="AL68"/>
      <c r="AM68"/>
      <c r="AN68"/>
      <c r="AO68"/>
      <c r="AP68"/>
      <c r="AQ68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</row>
    <row r="69" spans="1:86" s="1" customFormat="1" ht="18" hidden="1" customHeight="1">
      <c r="A69" s="540"/>
      <c r="B69" s="644"/>
      <c r="C69" s="194"/>
      <c r="D69" s="195"/>
      <c r="E69" s="196"/>
      <c r="F69" s="197"/>
      <c r="G69" s="587"/>
      <c r="H69" s="95"/>
      <c r="I69" s="13"/>
      <c r="J69" s="254"/>
      <c r="K69" s="255"/>
      <c r="L69" s="562"/>
      <c r="M69" s="95"/>
      <c r="N69" s="13"/>
      <c r="O69" s="254"/>
      <c r="P69" s="255"/>
      <c r="Q69" s="562"/>
      <c r="R69" s="95"/>
      <c r="S69" s="13"/>
      <c r="T69" s="254"/>
      <c r="U69" s="255"/>
      <c r="V69" s="562"/>
      <c r="W69" s="95"/>
      <c r="X69" s="13"/>
      <c r="Y69" s="254"/>
      <c r="Z69" s="255"/>
      <c r="AA69" s="562"/>
      <c r="AB69" s="95"/>
      <c r="AC69" s="13"/>
      <c r="AD69" s="254"/>
      <c r="AE69" s="255"/>
      <c r="AF69" s="644"/>
      <c r="AG69" s="198"/>
      <c r="AH69" s="199"/>
      <c r="AI69" s="200"/>
      <c r="AJ69" s="197"/>
      <c r="AK69" s="91"/>
      <c r="AL69"/>
      <c r="AM69"/>
      <c r="AN69"/>
      <c r="AO69"/>
      <c r="AP69"/>
      <c r="AQ69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</row>
    <row r="70" spans="1:86" s="1" customFormat="1" ht="18" hidden="1" customHeight="1">
      <c r="A70" s="540"/>
      <c r="B70" s="644"/>
      <c r="C70" s="194"/>
      <c r="D70" s="195"/>
      <c r="E70" s="196"/>
      <c r="F70" s="197"/>
      <c r="G70" s="587"/>
      <c r="H70" s="95"/>
      <c r="I70" s="13"/>
      <c r="J70" s="254"/>
      <c r="K70" s="255"/>
      <c r="L70" s="562"/>
      <c r="M70" s="95"/>
      <c r="N70" s="13"/>
      <c r="O70" s="254"/>
      <c r="P70" s="255"/>
      <c r="Q70" s="562"/>
      <c r="R70" s="95"/>
      <c r="S70" s="13"/>
      <c r="T70" s="254"/>
      <c r="U70" s="255"/>
      <c r="V70" s="562"/>
      <c r="W70" s="95"/>
      <c r="X70" s="13"/>
      <c r="Y70" s="254"/>
      <c r="Z70" s="255"/>
      <c r="AA70" s="562"/>
      <c r="AB70" s="95"/>
      <c r="AC70" s="13"/>
      <c r="AD70" s="254"/>
      <c r="AE70" s="255"/>
      <c r="AF70" s="644"/>
      <c r="AG70" s="198"/>
      <c r="AH70" s="199"/>
      <c r="AI70" s="200"/>
      <c r="AJ70" s="197"/>
      <c r="AK70" s="91"/>
      <c r="AL70"/>
      <c r="AM70"/>
      <c r="AN70"/>
      <c r="AO70"/>
      <c r="AP70"/>
      <c r="AQ70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</row>
    <row r="71" spans="1:86" s="1" customFormat="1" ht="18" hidden="1" customHeight="1">
      <c r="A71" s="540"/>
      <c r="B71" s="644"/>
      <c r="C71" s="194"/>
      <c r="D71" s="195"/>
      <c r="E71" s="196"/>
      <c r="F71" s="197"/>
      <c r="G71" s="587"/>
      <c r="H71" s="95"/>
      <c r="I71" s="13"/>
      <c r="J71" s="254"/>
      <c r="K71" s="255"/>
      <c r="L71" s="562"/>
      <c r="M71" s="95"/>
      <c r="N71" s="13"/>
      <c r="O71" s="254"/>
      <c r="P71" s="255"/>
      <c r="Q71" s="562"/>
      <c r="R71" s="95"/>
      <c r="S71" s="13"/>
      <c r="T71" s="254"/>
      <c r="U71" s="255"/>
      <c r="V71" s="562"/>
      <c r="W71" s="95"/>
      <c r="X71" s="13"/>
      <c r="Y71" s="254"/>
      <c r="Z71" s="255"/>
      <c r="AA71" s="562"/>
      <c r="AB71" s="95"/>
      <c r="AC71" s="13"/>
      <c r="AD71" s="254"/>
      <c r="AE71" s="255"/>
      <c r="AF71" s="644"/>
      <c r="AG71" s="198"/>
      <c r="AH71" s="199"/>
      <c r="AI71" s="200"/>
      <c r="AJ71" s="197"/>
      <c r="AK71" s="91"/>
      <c r="AL71"/>
      <c r="AM71"/>
      <c r="AN71"/>
      <c r="AO71"/>
      <c r="AP71"/>
      <c r="AQ71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</row>
    <row r="72" spans="1:86" s="1" customFormat="1" ht="18" hidden="1" customHeight="1">
      <c r="A72" s="540"/>
      <c r="B72" s="644"/>
      <c r="C72" s="194"/>
      <c r="D72" s="195"/>
      <c r="E72" s="196"/>
      <c r="F72" s="197"/>
      <c r="G72" s="587"/>
      <c r="H72" s="95"/>
      <c r="I72" s="13"/>
      <c r="J72" s="254"/>
      <c r="K72" s="255"/>
      <c r="L72" s="562"/>
      <c r="M72" s="95"/>
      <c r="N72" s="13"/>
      <c r="O72" s="254"/>
      <c r="P72" s="255"/>
      <c r="Q72" s="562"/>
      <c r="R72" s="95"/>
      <c r="S72" s="13"/>
      <c r="T72" s="254"/>
      <c r="U72" s="255"/>
      <c r="V72" s="562"/>
      <c r="W72" s="95"/>
      <c r="X72" s="13"/>
      <c r="Y72" s="254"/>
      <c r="Z72" s="255"/>
      <c r="AA72" s="562"/>
      <c r="AB72" s="95"/>
      <c r="AC72" s="13"/>
      <c r="AD72" s="254"/>
      <c r="AE72" s="255"/>
      <c r="AF72" s="644"/>
      <c r="AG72" s="198"/>
      <c r="AH72" s="199"/>
      <c r="AI72" s="200"/>
      <c r="AJ72" s="197"/>
      <c r="AK72" s="91"/>
      <c r="AL72"/>
      <c r="AM72"/>
      <c r="AN72"/>
      <c r="AO72"/>
      <c r="AP72"/>
      <c r="AQ72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</row>
    <row r="73" spans="1:86" s="1" customFormat="1" ht="18" hidden="1" customHeight="1">
      <c r="A73" s="540"/>
      <c r="B73" s="644"/>
      <c r="C73" s="194"/>
      <c r="D73" s="195"/>
      <c r="E73" s="196"/>
      <c r="F73" s="197"/>
      <c r="G73" s="587"/>
      <c r="H73" s="95"/>
      <c r="I73" s="13"/>
      <c r="J73" s="254"/>
      <c r="K73" s="255"/>
      <c r="L73" s="562"/>
      <c r="M73" s="95"/>
      <c r="N73" s="13"/>
      <c r="O73" s="254"/>
      <c r="P73" s="255"/>
      <c r="Q73" s="562"/>
      <c r="R73" s="95"/>
      <c r="S73" s="13"/>
      <c r="T73" s="254"/>
      <c r="U73" s="255"/>
      <c r="V73" s="562"/>
      <c r="W73" s="95"/>
      <c r="X73" s="13"/>
      <c r="Y73" s="254"/>
      <c r="Z73" s="255"/>
      <c r="AA73" s="562"/>
      <c r="AB73" s="95"/>
      <c r="AC73" s="13"/>
      <c r="AD73" s="254"/>
      <c r="AE73" s="255"/>
      <c r="AF73" s="644"/>
      <c r="AG73" s="198"/>
      <c r="AH73" s="199"/>
      <c r="AI73" s="200"/>
      <c r="AJ73" s="197"/>
      <c r="AK73" s="91"/>
      <c r="AL73"/>
      <c r="AM73"/>
      <c r="AN73"/>
      <c r="AO73"/>
      <c r="AP73"/>
      <c r="AQ73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</row>
    <row r="74" spans="1:86" s="1" customFormat="1" ht="18" hidden="1" customHeight="1">
      <c r="A74" s="540"/>
      <c r="B74" s="644"/>
      <c r="C74" s="194"/>
      <c r="D74" s="195"/>
      <c r="E74" s="196"/>
      <c r="F74" s="197"/>
      <c r="G74" s="587"/>
      <c r="H74" s="95"/>
      <c r="I74" s="13"/>
      <c r="J74" s="254"/>
      <c r="K74" s="255"/>
      <c r="L74" s="562"/>
      <c r="M74" s="95"/>
      <c r="N74" s="13"/>
      <c r="O74" s="254"/>
      <c r="P74" s="255"/>
      <c r="Q74" s="562"/>
      <c r="R74" s="95"/>
      <c r="S74" s="13"/>
      <c r="T74" s="254"/>
      <c r="U74" s="255"/>
      <c r="V74" s="562"/>
      <c r="W74" s="95"/>
      <c r="X74" s="13"/>
      <c r="Y74" s="254"/>
      <c r="Z74" s="255"/>
      <c r="AA74" s="562"/>
      <c r="AB74" s="95"/>
      <c r="AC74" s="13"/>
      <c r="AD74" s="254"/>
      <c r="AE74" s="255"/>
      <c r="AF74" s="644"/>
      <c r="AG74" s="198"/>
      <c r="AH74" s="199"/>
      <c r="AI74" s="200"/>
      <c r="AJ74" s="197"/>
      <c r="AK74" s="91"/>
      <c r="AL74"/>
      <c r="AM74"/>
      <c r="AN74"/>
      <c r="AO74"/>
      <c r="AP74"/>
      <c r="AQ7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86" s="1" customFormat="1" ht="18" hidden="1" customHeight="1">
      <c r="A75" s="540"/>
      <c r="B75" s="644"/>
      <c r="C75" s="194"/>
      <c r="D75" s="195"/>
      <c r="E75" s="196"/>
      <c r="F75" s="197"/>
      <c r="G75" s="587"/>
      <c r="H75" s="95"/>
      <c r="I75" s="13"/>
      <c r="J75" s="254"/>
      <c r="K75" s="255"/>
      <c r="L75" s="562"/>
      <c r="M75" s="95"/>
      <c r="N75" s="13"/>
      <c r="O75" s="254"/>
      <c r="P75" s="255"/>
      <c r="Q75" s="562"/>
      <c r="R75" s="95"/>
      <c r="S75" s="13"/>
      <c r="T75" s="254"/>
      <c r="U75" s="255"/>
      <c r="V75" s="562"/>
      <c r="W75" s="95"/>
      <c r="X75" s="13"/>
      <c r="Y75" s="254"/>
      <c r="Z75" s="255"/>
      <c r="AA75" s="562"/>
      <c r="AB75" s="95"/>
      <c r="AC75" s="13"/>
      <c r="AD75" s="254"/>
      <c r="AE75" s="255"/>
      <c r="AF75" s="644"/>
      <c r="AG75" s="198"/>
      <c r="AH75" s="199"/>
      <c r="AI75" s="200"/>
      <c r="AJ75" s="197"/>
      <c r="AK75" s="91"/>
      <c r="AL75"/>
      <c r="AM75"/>
      <c r="AN75"/>
      <c r="AO75"/>
      <c r="AP75"/>
      <c r="AQ75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86" s="1" customFormat="1" ht="18" hidden="1" customHeight="1">
      <c r="A76" s="540"/>
      <c r="B76" s="644"/>
      <c r="C76" s="194"/>
      <c r="D76" s="195"/>
      <c r="E76" s="196"/>
      <c r="F76" s="197"/>
      <c r="G76" s="587"/>
      <c r="H76" s="95"/>
      <c r="I76" s="13"/>
      <c r="J76" s="254"/>
      <c r="K76" s="255"/>
      <c r="L76" s="562"/>
      <c r="M76" s="95"/>
      <c r="N76" s="13"/>
      <c r="O76" s="254"/>
      <c r="P76" s="255"/>
      <c r="Q76" s="562"/>
      <c r="R76" s="95"/>
      <c r="S76" s="13"/>
      <c r="T76" s="254"/>
      <c r="U76" s="255"/>
      <c r="V76" s="562"/>
      <c r="W76" s="95"/>
      <c r="X76" s="13"/>
      <c r="Y76" s="254"/>
      <c r="Z76" s="255"/>
      <c r="AA76" s="562"/>
      <c r="AB76" s="95"/>
      <c r="AC76" s="13"/>
      <c r="AD76" s="254"/>
      <c r="AE76" s="255"/>
      <c r="AF76" s="644"/>
      <c r="AG76" s="198"/>
      <c r="AH76" s="199"/>
      <c r="AI76" s="200"/>
      <c r="AJ76" s="197"/>
      <c r="AK76" s="91"/>
      <c r="AL76"/>
      <c r="AM76"/>
      <c r="AN76"/>
      <c r="AO76"/>
      <c r="AP76"/>
      <c r="AQ76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86" s="1" customFormat="1" ht="18" hidden="1" customHeight="1">
      <c r="A77" s="540"/>
      <c r="B77" s="644"/>
      <c r="C77" s="194"/>
      <c r="D77" s="195"/>
      <c r="E77" s="196"/>
      <c r="F77" s="197"/>
      <c r="G77" s="587"/>
      <c r="H77" s="95"/>
      <c r="I77" s="13"/>
      <c r="J77" s="254"/>
      <c r="K77" s="255"/>
      <c r="L77" s="562"/>
      <c r="M77" s="95"/>
      <c r="N77" s="13"/>
      <c r="O77" s="254"/>
      <c r="P77" s="255"/>
      <c r="Q77" s="562"/>
      <c r="R77" s="95"/>
      <c r="S77" s="13"/>
      <c r="T77" s="254"/>
      <c r="U77" s="255"/>
      <c r="V77" s="562"/>
      <c r="W77" s="95"/>
      <c r="X77" s="13"/>
      <c r="Y77" s="254"/>
      <c r="Z77" s="255"/>
      <c r="AA77" s="562"/>
      <c r="AB77" s="95"/>
      <c r="AC77" s="13"/>
      <c r="AD77" s="254"/>
      <c r="AE77" s="255"/>
      <c r="AF77" s="644"/>
      <c r="AG77" s="198"/>
      <c r="AH77" s="199"/>
      <c r="AI77" s="200"/>
      <c r="AJ77" s="197"/>
      <c r="AK77" s="91"/>
      <c r="AL77"/>
      <c r="AM77"/>
      <c r="AN77"/>
      <c r="AO77"/>
      <c r="AP77"/>
      <c r="AQ77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86" s="1" customFormat="1" ht="18" hidden="1" customHeight="1">
      <c r="A78" s="541"/>
      <c r="B78" s="645"/>
      <c r="C78" s="201"/>
      <c r="D78" s="202"/>
      <c r="E78" s="203"/>
      <c r="F78" s="204"/>
      <c r="G78" s="588"/>
      <c r="H78" s="95"/>
      <c r="I78" s="13"/>
      <c r="J78" s="254"/>
      <c r="K78" s="257"/>
      <c r="L78" s="563"/>
      <c r="M78" s="95"/>
      <c r="N78" s="13"/>
      <c r="O78" s="254"/>
      <c r="P78" s="257"/>
      <c r="Q78" s="563"/>
      <c r="R78" s="95"/>
      <c r="S78" s="13"/>
      <c r="T78" s="254"/>
      <c r="U78" s="257"/>
      <c r="V78" s="563"/>
      <c r="W78" s="95"/>
      <c r="X78" s="13"/>
      <c r="Y78" s="254"/>
      <c r="Z78" s="257"/>
      <c r="AA78" s="563"/>
      <c r="AB78" s="95"/>
      <c r="AC78" s="13"/>
      <c r="AD78" s="254"/>
      <c r="AE78" s="257"/>
      <c r="AF78" s="645"/>
      <c r="AG78" s="205"/>
      <c r="AH78" s="206"/>
      <c r="AI78" s="207"/>
      <c r="AJ78" s="204"/>
      <c r="AK78" s="91"/>
      <c r="AL78"/>
      <c r="AM78"/>
      <c r="AN78"/>
      <c r="AO78"/>
      <c r="AP78"/>
      <c r="AQ78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86" s="1" customFormat="1" ht="18" hidden="1" customHeight="1">
      <c r="A79" s="539" t="s">
        <v>51</v>
      </c>
      <c r="B79" s="643"/>
      <c r="C79" s="187"/>
      <c r="D79" s="188"/>
      <c r="E79" s="189"/>
      <c r="F79" s="190"/>
      <c r="G79" s="586"/>
      <c r="H79" s="95"/>
      <c r="I79" s="13"/>
      <c r="J79" s="254"/>
      <c r="K79" s="267"/>
      <c r="L79" s="561"/>
      <c r="M79" s="95"/>
      <c r="N79" s="13"/>
      <c r="O79" s="254"/>
      <c r="P79" s="267"/>
      <c r="Q79" s="561"/>
      <c r="R79" s="95"/>
      <c r="S79" s="13"/>
      <c r="T79" s="254"/>
      <c r="U79" s="267"/>
      <c r="V79" s="561"/>
      <c r="W79" s="95"/>
      <c r="X79" s="13"/>
      <c r="Y79" s="254"/>
      <c r="Z79" s="267"/>
      <c r="AA79" s="561"/>
      <c r="AB79" s="95"/>
      <c r="AC79" s="13"/>
      <c r="AD79" s="254"/>
      <c r="AE79" s="267"/>
      <c r="AF79" s="643"/>
      <c r="AG79" s="191"/>
      <c r="AH79" s="192"/>
      <c r="AI79" s="193"/>
      <c r="AJ79" s="190"/>
      <c r="AK79" s="91"/>
      <c r="AL79"/>
      <c r="AM79"/>
      <c r="AN79"/>
      <c r="AO79"/>
      <c r="AP79"/>
      <c r="AQ79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86" s="1" customFormat="1" ht="18" hidden="1" customHeight="1">
      <c r="A80" s="540"/>
      <c r="B80" s="644"/>
      <c r="C80" s="194"/>
      <c r="D80" s="195"/>
      <c r="E80" s="196"/>
      <c r="F80" s="197"/>
      <c r="G80" s="587"/>
      <c r="H80" s="95"/>
      <c r="I80" s="13"/>
      <c r="J80" s="254"/>
      <c r="K80" s="255"/>
      <c r="L80" s="562"/>
      <c r="M80" s="95"/>
      <c r="N80" s="13"/>
      <c r="O80" s="254"/>
      <c r="P80" s="255"/>
      <c r="Q80" s="562"/>
      <c r="R80" s="95"/>
      <c r="S80" s="13"/>
      <c r="T80" s="254"/>
      <c r="U80" s="255"/>
      <c r="V80" s="562"/>
      <c r="W80" s="95"/>
      <c r="X80" s="13"/>
      <c r="Y80" s="254"/>
      <c r="Z80" s="255"/>
      <c r="AA80" s="562"/>
      <c r="AB80" s="95"/>
      <c r="AC80" s="13"/>
      <c r="AD80" s="254"/>
      <c r="AE80" s="255"/>
      <c r="AF80" s="644"/>
      <c r="AG80" s="198"/>
      <c r="AH80" s="199"/>
      <c r="AI80" s="200"/>
      <c r="AJ80" s="197"/>
      <c r="AK80" s="91"/>
      <c r="AL80"/>
      <c r="AM80"/>
      <c r="AN80"/>
      <c r="AO80"/>
      <c r="AP80"/>
      <c r="AQ80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1:86" s="1" customFormat="1" ht="18" hidden="1" customHeight="1">
      <c r="A81" s="540"/>
      <c r="B81" s="644"/>
      <c r="C81" s="194"/>
      <c r="D81" s="195"/>
      <c r="E81" s="196"/>
      <c r="F81" s="197"/>
      <c r="G81" s="587"/>
      <c r="H81" s="95"/>
      <c r="I81" s="13"/>
      <c r="J81" s="254"/>
      <c r="K81" s="255"/>
      <c r="L81" s="562"/>
      <c r="M81" s="95"/>
      <c r="N81" s="13"/>
      <c r="O81" s="254"/>
      <c r="P81" s="255"/>
      <c r="Q81" s="562"/>
      <c r="R81" s="95"/>
      <c r="S81" s="13"/>
      <c r="T81" s="254"/>
      <c r="U81" s="255"/>
      <c r="V81" s="562"/>
      <c r="W81" s="95"/>
      <c r="X81" s="13"/>
      <c r="Y81" s="254"/>
      <c r="Z81" s="255"/>
      <c r="AA81" s="562"/>
      <c r="AB81" s="95"/>
      <c r="AC81" s="13"/>
      <c r="AD81" s="254"/>
      <c r="AE81" s="255"/>
      <c r="AF81" s="644"/>
      <c r="AG81" s="198"/>
      <c r="AH81" s="199"/>
      <c r="AI81" s="200"/>
      <c r="AJ81" s="197"/>
      <c r="AK81" s="91"/>
      <c r="AL81"/>
      <c r="AM81"/>
      <c r="AN81"/>
      <c r="AO81"/>
      <c r="AP81"/>
      <c r="AQ81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1:86" s="1" customFormat="1" ht="18" hidden="1" customHeight="1">
      <c r="A82" s="540"/>
      <c r="B82" s="644"/>
      <c r="C82" s="194"/>
      <c r="D82" s="195"/>
      <c r="E82" s="196"/>
      <c r="F82" s="197"/>
      <c r="G82" s="587"/>
      <c r="H82" s="95"/>
      <c r="I82" s="13"/>
      <c r="J82" s="254"/>
      <c r="K82" s="255"/>
      <c r="L82" s="562"/>
      <c r="M82" s="95"/>
      <c r="N82" s="13"/>
      <c r="O82" s="254"/>
      <c r="P82" s="255"/>
      <c r="Q82" s="562"/>
      <c r="R82" s="95"/>
      <c r="S82" s="13"/>
      <c r="T82" s="254"/>
      <c r="U82" s="255"/>
      <c r="V82" s="562"/>
      <c r="W82" s="95"/>
      <c r="X82" s="13"/>
      <c r="Y82" s="254"/>
      <c r="Z82" s="255"/>
      <c r="AA82" s="562"/>
      <c r="AB82" s="95"/>
      <c r="AC82" s="13"/>
      <c r="AD82" s="254"/>
      <c r="AE82" s="255"/>
      <c r="AF82" s="644"/>
      <c r="AG82" s="198"/>
      <c r="AH82" s="199"/>
      <c r="AI82" s="200"/>
      <c r="AJ82" s="197"/>
      <c r="AK82" s="91"/>
      <c r="AL82"/>
      <c r="AM82"/>
      <c r="AN82"/>
      <c r="AO82"/>
      <c r="AP82"/>
      <c r="AQ82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1:86" s="1" customFormat="1" ht="18" hidden="1" customHeight="1">
      <c r="A83" s="540"/>
      <c r="B83" s="644"/>
      <c r="C83" s="194"/>
      <c r="D83" s="195"/>
      <c r="E83" s="196"/>
      <c r="F83" s="197"/>
      <c r="G83" s="587"/>
      <c r="H83" s="95"/>
      <c r="I83" s="13"/>
      <c r="J83" s="254"/>
      <c r="K83" s="255"/>
      <c r="L83" s="562"/>
      <c r="M83" s="95"/>
      <c r="N83" s="13"/>
      <c r="O83" s="254"/>
      <c r="P83" s="255"/>
      <c r="Q83" s="562"/>
      <c r="R83" s="95"/>
      <c r="S83" s="13"/>
      <c r="T83" s="254"/>
      <c r="U83" s="255"/>
      <c r="V83" s="562"/>
      <c r="W83" s="95"/>
      <c r="X83" s="13"/>
      <c r="Y83" s="254"/>
      <c r="Z83" s="255"/>
      <c r="AA83" s="562"/>
      <c r="AB83" s="95"/>
      <c r="AC83" s="13"/>
      <c r="AD83" s="254"/>
      <c r="AE83" s="255"/>
      <c r="AF83" s="644"/>
      <c r="AG83" s="198"/>
      <c r="AH83" s="199"/>
      <c r="AI83" s="200"/>
      <c r="AJ83" s="197"/>
      <c r="AK83" s="91"/>
      <c r="AL83"/>
      <c r="AM83"/>
      <c r="AN83"/>
      <c r="AO83"/>
      <c r="AP83"/>
      <c r="AQ83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1:86" s="1" customFormat="1" ht="18" hidden="1" customHeight="1">
      <c r="A84" s="540"/>
      <c r="B84" s="644"/>
      <c r="C84" s="194"/>
      <c r="D84" s="195"/>
      <c r="E84" s="196"/>
      <c r="F84" s="197"/>
      <c r="G84" s="587"/>
      <c r="H84" s="95"/>
      <c r="I84" s="13"/>
      <c r="J84" s="254"/>
      <c r="K84" s="255"/>
      <c r="L84" s="562"/>
      <c r="M84" s="95"/>
      <c r="N84" s="13"/>
      <c r="O84" s="254"/>
      <c r="P84" s="255"/>
      <c r="Q84" s="562"/>
      <c r="R84" s="95"/>
      <c r="S84" s="13"/>
      <c r="T84" s="254"/>
      <c r="U84" s="255"/>
      <c r="V84" s="562"/>
      <c r="W84" s="95"/>
      <c r="X84" s="13"/>
      <c r="Y84" s="254"/>
      <c r="Z84" s="255"/>
      <c r="AA84" s="562"/>
      <c r="AB84" s="95"/>
      <c r="AC84" s="13"/>
      <c r="AD84" s="254"/>
      <c r="AE84" s="255"/>
      <c r="AF84" s="644"/>
      <c r="AG84" s="198"/>
      <c r="AH84" s="199"/>
      <c r="AI84" s="200"/>
      <c r="AJ84" s="197"/>
      <c r="AK84" s="91"/>
      <c r="AL84"/>
      <c r="AM84"/>
      <c r="AN84"/>
      <c r="AO84"/>
      <c r="AP84"/>
      <c r="AQ8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1:86" s="1" customFormat="1" ht="18" hidden="1" customHeight="1">
      <c r="A85" s="540"/>
      <c r="B85" s="644"/>
      <c r="C85" s="194"/>
      <c r="D85" s="195"/>
      <c r="E85" s="196"/>
      <c r="F85" s="197"/>
      <c r="G85" s="587"/>
      <c r="H85" s="95"/>
      <c r="I85" s="13"/>
      <c r="J85" s="254"/>
      <c r="K85" s="255"/>
      <c r="L85" s="562"/>
      <c r="M85" s="95"/>
      <c r="N85" s="13"/>
      <c r="O85" s="254"/>
      <c r="P85" s="255"/>
      <c r="Q85" s="562"/>
      <c r="R85" s="95"/>
      <c r="S85" s="13"/>
      <c r="T85" s="254"/>
      <c r="U85" s="255"/>
      <c r="V85" s="562"/>
      <c r="W85" s="95"/>
      <c r="X85" s="13"/>
      <c r="Y85" s="254"/>
      <c r="Z85" s="255"/>
      <c r="AA85" s="562"/>
      <c r="AB85" s="95"/>
      <c r="AC85" s="13"/>
      <c r="AD85" s="254"/>
      <c r="AE85" s="255"/>
      <c r="AF85" s="644"/>
      <c r="AG85" s="198"/>
      <c r="AH85" s="199"/>
      <c r="AI85" s="200"/>
      <c r="AJ85" s="197"/>
      <c r="AK85" s="91"/>
      <c r="AL85"/>
      <c r="AM85"/>
      <c r="AN85"/>
      <c r="AO85"/>
      <c r="AP85"/>
      <c r="AQ85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86" s="1" customFormat="1" ht="18" hidden="1" customHeight="1">
      <c r="A86" s="540"/>
      <c r="B86" s="644"/>
      <c r="C86" s="194"/>
      <c r="D86" s="195"/>
      <c r="E86" s="196"/>
      <c r="F86" s="197"/>
      <c r="G86" s="587"/>
      <c r="H86" s="95"/>
      <c r="I86" s="13"/>
      <c r="J86" s="254"/>
      <c r="K86" s="255"/>
      <c r="L86" s="562"/>
      <c r="M86" s="95"/>
      <c r="N86" s="13"/>
      <c r="O86" s="254"/>
      <c r="P86" s="255"/>
      <c r="Q86" s="562"/>
      <c r="R86" s="95"/>
      <c r="S86" s="13"/>
      <c r="T86" s="254"/>
      <c r="U86" s="255"/>
      <c r="V86" s="562"/>
      <c r="W86" s="95"/>
      <c r="X86" s="13"/>
      <c r="Y86" s="254"/>
      <c r="Z86" s="255"/>
      <c r="AA86" s="562"/>
      <c r="AB86" s="95"/>
      <c r="AC86" s="13"/>
      <c r="AD86" s="254"/>
      <c r="AE86" s="255"/>
      <c r="AF86" s="644"/>
      <c r="AG86" s="198"/>
      <c r="AH86" s="199"/>
      <c r="AI86" s="200"/>
      <c r="AJ86" s="197"/>
      <c r="AK86" s="91"/>
      <c r="AL86"/>
      <c r="AM86"/>
      <c r="AN86"/>
      <c r="AO86"/>
      <c r="AP86"/>
      <c r="AQ86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86" s="1" customFormat="1" ht="18" hidden="1" customHeight="1">
      <c r="A87" s="540"/>
      <c r="B87" s="644"/>
      <c r="C87" s="194"/>
      <c r="D87" s="195"/>
      <c r="E87" s="196"/>
      <c r="F87" s="197"/>
      <c r="G87" s="587"/>
      <c r="H87" s="95"/>
      <c r="I87" s="13"/>
      <c r="J87" s="254"/>
      <c r="K87" s="255"/>
      <c r="L87" s="562"/>
      <c r="M87" s="95"/>
      <c r="N87" s="13"/>
      <c r="O87" s="254"/>
      <c r="P87" s="255"/>
      <c r="Q87" s="562"/>
      <c r="R87" s="95"/>
      <c r="S87" s="13"/>
      <c r="T87" s="254"/>
      <c r="U87" s="255"/>
      <c r="V87" s="562"/>
      <c r="W87" s="95"/>
      <c r="X87" s="13"/>
      <c r="Y87" s="254"/>
      <c r="Z87" s="255"/>
      <c r="AA87" s="562"/>
      <c r="AB87" s="95"/>
      <c r="AC87" s="13"/>
      <c r="AD87" s="254"/>
      <c r="AE87" s="255"/>
      <c r="AF87" s="644"/>
      <c r="AG87" s="198"/>
      <c r="AH87" s="199"/>
      <c r="AI87" s="200"/>
      <c r="AJ87" s="197"/>
      <c r="AK87" s="91"/>
      <c r="AL87"/>
      <c r="AM87"/>
      <c r="AN87"/>
      <c r="AO87"/>
      <c r="AP87"/>
      <c r="AQ87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86" s="1" customFormat="1" ht="18" hidden="1" customHeight="1">
      <c r="A88" s="540"/>
      <c r="B88" s="644"/>
      <c r="C88" s="194"/>
      <c r="D88" s="195"/>
      <c r="E88" s="196"/>
      <c r="F88" s="197"/>
      <c r="G88" s="587"/>
      <c r="H88" s="95"/>
      <c r="I88" s="13"/>
      <c r="J88" s="254"/>
      <c r="K88" s="255"/>
      <c r="L88" s="562"/>
      <c r="M88" s="95"/>
      <c r="N88" s="13"/>
      <c r="O88" s="254"/>
      <c r="P88" s="255"/>
      <c r="Q88" s="562"/>
      <c r="R88" s="95"/>
      <c r="S88" s="13"/>
      <c r="T88" s="254"/>
      <c r="U88" s="255"/>
      <c r="V88" s="562"/>
      <c r="W88" s="95"/>
      <c r="X88" s="13"/>
      <c r="Y88" s="254"/>
      <c r="Z88" s="255"/>
      <c r="AA88" s="562"/>
      <c r="AB88" s="95"/>
      <c r="AC88" s="13"/>
      <c r="AD88" s="254"/>
      <c r="AE88" s="255"/>
      <c r="AF88" s="644"/>
      <c r="AG88" s="198"/>
      <c r="AH88" s="199"/>
      <c r="AI88" s="200"/>
      <c r="AJ88" s="197"/>
      <c r="AK88" s="91"/>
      <c r="AL88"/>
      <c r="AM88"/>
      <c r="AN88"/>
      <c r="AO88"/>
      <c r="AP88"/>
      <c r="AQ88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86" s="1" customFormat="1" ht="18" hidden="1" customHeight="1">
      <c r="A89" s="540"/>
      <c r="B89" s="644"/>
      <c r="C89" s="194"/>
      <c r="D89" s="195"/>
      <c r="E89" s="196"/>
      <c r="F89" s="197"/>
      <c r="G89" s="587"/>
      <c r="H89" s="95"/>
      <c r="I89" s="13"/>
      <c r="J89" s="254"/>
      <c r="K89" s="255"/>
      <c r="L89" s="562"/>
      <c r="M89" s="95"/>
      <c r="N89" s="13"/>
      <c r="O89" s="254"/>
      <c r="P89" s="255"/>
      <c r="Q89" s="562"/>
      <c r="R89" s="95"/>
      <c r="S89" s="13"/>
      <c r="T89" s="254"/>
      <c r="U89" s="255"/>
      <c r="V89" s="562"/>
      <c r="W89" s="95"/>
      <c r="X89" s="13"/>
      <c r="Y89" s="254"/>
      <c r="Z89" s="255"/>
      <c r="AA89" s="562"/>
      <c r="AB89" s="95"/>
      <c r="AC89" s="13"/>
      <c r="AD89" s="254"/>
      <c r="AE89" s="255"/>
      <c r="AF89" s="644"/>
      <c r="AG89" s="198"/>
      <c r="AH89" s="199"/>
      <c r="AI89" s="200"/>
      <c r="AJ89" s="197"/>
      <c r="AK89" s="91"/>
      <c r="AL89"/>
      <c r="AM89"/>
      <c r="AN89"/>
      <c r="AO89"/>
      <c r="AP89"/>
      <c r="AQ89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86" s="1" customFormat="1" ht="18" hidden="1" customHeight="1">
      <c r="A90" s="540"/>
      <c r="B90" s="644"/>
      <c r="C90" s="194"/>
      <c r="D90" s="195"/>
      <c r="E90" s="196"/>
      <c r="F90" s="197"/>
      <c r="G90" s="587"/>
      <c r="H90" s="95"/>
      <c r="I90" s="13"/>
      <c r="J90" s="254"/>
      <c r="K90" s="255"/>
      <c r="L90" s="562"/>
      <c r="M90" s="95"/>
      <c r="N90" s="13"/>
      <c r="O90" s="254"/>
      <c r="P90" s="255"/>
      <c r="Q90" s="562"/>
      <c r="R90" s="95"/>
      <c r="S90" s="13"/>
      <c r="T90" s="254"/>
      <c r="U90" s="255"/>
      <c r="V90" s="562"/>
      <c r="W90" s="95"/>
      <c r="X90" s="13"/>
      <c r="Y90" s="254"/>
      <c r="Z90" s="255"/>
      <c r="AA90" s="562"/>
      <c r="AB90" s="95"/>
      <c r="AC90" s="13"/>
      <c r="AD90" s="254"/>
      <c r="AE90" s="255"/>
      <c r="AF90" s="644"/>
      <c r="AG90" s="198"/>
      <c r="AH90" s="199"/>
      <c r="AI90" s="200"/>
      <c r="AJ90" s="197"/>
      <c r="AK90" s="91"/>
      <c r="AL90"/>
      <c r="AM90"/>
      <c r="AN90"/>
      <c r="AO90"/>
      <c r="AP90"/>
      <c r="AQ90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86" s="1" customFormat="1" ht="18" hidden="1" customHeight="1">
      <c r="A91" s="540"/>
      <c r="B91" s="644"/>
      <c r="C91" s="194"/>
      <c r="D91" s="195"/>
      <c r="E91" s="196"/>
      <c r="F91" s="197"/>
      <c r="G91" s="587"/>
      <c r="H91" s="95"/>
      <c r="I91" s="13"/>
      <c r="J91" s="254"/>
      <c r="K91" s="255"/>
      <c r="L91" s="562"/>
      <c r="M91" s="95"/>
      <c r="N91" s="13"/>
      <c r="O91" s="254"/>
      <c r="P91" s="255"/>
      <c r="Q91" s="562"/>
      <c r="R91" s="95"/>
      <c r="S91" s="13"/>
      <c r="T91" s="254"/>
      <c r="U91" s="255"/>
      <c r="V91" s="562"/>
      <c r="W91" s="95"/>
      <c r="X91" s="13"/>
      <c r="Y91" s="254"/>
      <c r="Z91" s="255"/>
      <c r="AA91" s="562"/>
      <c r="AB91" s="95"/>
      <c r="AC91" s="13"/>
      <c r="AD91" s="254"/>
      <c r="AE91" s="255"/>
      <c r="AF91" s="644"/>
      <c r="AG91" s="198"/>
      <c r="AH91" s="199"/>
      <c r="AI91" s="200"/>
      <c r="AJ91" s="197"/>
      <c r="AK91" s="91"/>
      <c r="AL91"/>
      <c r="AM91"/>
      <c r="AN91"/>
      <c r="AO91"/>
      <c r="AP91"/>
      <c r="AQ91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86" s="1" customFormat="1" ht="18" hidden="1" customHeight="1">
      <c r="A92" s="540"/>
      <c r="B92" s="644"/>
      <c r="C92" s="194"/>
      <c r="D92" s="195"/>
      <c r="E92" s="196"/>
      <c r="F92" s="197"/>
      <c r="G92" s="587"/>
      <c r="H92" s="95"/>
      <c r="I92" s="13"/>
      <c r="J92" s="254"/>
      <c r="K92" s="255"/>
      <c r="L92" s="562"/>
      <c r="M92" s="95"/>
      <c r="N92" s="13"/>
      <c r="O92" s="254"/>
      <c r="P92" s="255"/>
      <c r="Q92" s="562"/>
      <c r="R92" s="95"/>
      <c r="S92" s="13"/>
      <c r="T92" s="254"/>
      <c r="U92" s="255"/>
      <c r="V92" s="562"/>
      <c r="W92" s="95"/>
      <c r="X92" s="13"/>
      <c r="Y92" s="254"/>
      <c r="Z92" s="255"/>
      <c r="AA92" s="562"/>
      <c r="AB92" s="95"/>
      <c r="AC92" s="13"/>
      <c r="AD92" s="254"/>
      <c r="AE92" s="255"/>
      <c r="AF92" s="644"/>
      <c r="AG92" s="198"/>
      <c r="AH92" s="199"/>
      <c r="AI92" s="200"/>
      <c r="AJ92" s="197"/>
      <c r="AK92" s="91"/>
      <c r="AL92"/>
      <c r="AM92"/>
      <c r="AN92"/>
      <c r="AO92"/>
      <c r="AP92"/>
      <c r="AQ92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86" s="1" customFormat="1" ht="18" hidden="1" customHeight="1">
      <c r="A93" s="541"/>
      <c r="B93" s="645"/>
      <c r="C93" s="201"/>
      <c r="D93" s="202"/>
      <c r="E93" s="203"/>
      <c r="F93" s="204"/>
      <c r="G93" s="588"/>
      <c r="H93" s="95"/>
      <c r="I93" s="13"/>
      <c r="J93" s="254"/>
      <c r="K93" s="255"/>
      <c r="L93" s="563"/>
      <c r="M93" s="95"/>
      <c r="N93" s="13"/>
      <c r="O93" s="254"/>
      <c r="P93" s="255"/>
      <c r="Q93" s="563"/>
      <c r="R93" s="95"/>
      <c r="S93" s="13"/>
      <c r="T93" s="254"/>
      <c r="U93" s="255"/>
      <c r="V93" s="563"/>
      <c r="W93" s="95"/>
      <c r="X93" s="13"/>
      <c r="Y93" s="254"/>
      <c r="Z93" s="255"/>
      <c r="AA93" s="563"/>
      <c r="AB93" s="95"/>
      <c r="AC93" s="13"/>
      <c r="AD93" s="254"/>
      <c r="AE93" s="255"/>
      <c r="AF93" s="645"/>
      <c r="AG93" s="205"/>
      <c r="AH93" s="206"/>
      <c r="AI93" s="207"/>
      <c r="AJ93" s="204"/>
      <c r="AK93" s="91"/>
      <c r="AL93"/>
      <c r="AM93"/>
      <c r="AN93"/>
      <c r="AO93"/>
      <c r="AP93"/>
      <c r="AQ93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86" s="1" customFormat="1" ht="18" customHeight="1">
      <c r="A94" s="592" t="s">
        <v>52</v>
      </c>
      <c r="B94" s="643"/>
      <c r="C94" s="188"/>
      <c r="D94" s="188"/>
      <c r="E94" s="189"/>
      <c r="F94" s="37"/>
      <c r="G94" s="567" t="s">
        <v>222</v>
      </c>
      <c r="H94" s="461" t="s">
        <v>83</v>
      </c>
      <c r="I94" s="9"/>
      <c r="J94" s="369">
        <f>ROUND(15*J$2/1000,0)</f>
        <v>29</v>
      </c>
      <c r="K94" s="223" t="s">
        <v>0</v>
      </c>
      <c r="L94" s="651" t="s">
        <v>395</v>
      </c>
      <c r="M94" s="368" t="s">
        <v>223</v>
      </c>
      <c r="N94" s="377"/>
      <c r="O94" s="369">
        <f>ROUND(25*O$2/1000,0)</f>
        <v>44</v>
      </c>
      <c r="P94" s="441" t="s">
        <v>0</v>
      </c>
      <c r="Q94" s="639"/>
      <c r="R94" s="635" t="s">
        <v>389</v>
      </c>
      <c r="S94" s="581"/>
      <c r="T94" s="581"/>
      <c r="U94" s="582"/>
      <c r="V94" s="572" t="s">
        <v>340</v>
      </c>
      <c r="W94" s="376" t="s">
        <v>134</v>
      </c>
      <c r="X94" s="377" t="s">
        <v>96</v>
      </c>
      <c r="Y94" s="378">
        <f>ROUND(7*J$2/1000,0)</f>
        <v>13</v>
      </c>
      <c r="Z94" s="379" t="s">
        <v>0</v>
      </c>
      <c r="AA94" s="567" t="s">
        <v>224</v>
      </c>
      <c r="AB94" s="93" t="s">
        <v>103</v>
      </c>
      <c r="AC94" s="9"/>
      <c r="AD94" s="253">
        <f>ROUND(70*AD$2/1000,0)</f>
        <v>122</v>
      </c>
      <c r="AE94" s="223" t="s">
        <v>0</v>
      </c>
      <c r="AF94" s="643"/>
      <c r="AG94" s="191"/>
      <c r="AH94" s="192"/>
      <c r="AI94" s="193"/>
      <c r="AJ94" s="190"/>
      <c r="AK94" s="91"/>
      <c r="AL94"/>
      <c r="AM94"/>
      <c r="AN94"/>
      <c r="AO94"/>
      <c r="AP94"/>
      <c r="AQ94"/>
      <c r="AR94"/>
      <c r="AS9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86" s="1" customFormat="1" ht="18" customHeight="1">
      <c r="A95" s="515"/>
      <c r="B95" s="649"/>
      <c r="C95" s="195"/>
      <c r="D95" s="195"/>
      <c r="E95" s="196"/>
      <c r="F95" s="199"/>
      <c r="G95" s="568"/>
      <c r="H95" s="95" t="s">
        <v>168</v>
      </c>
      <c r="I95" s="13" t="s">
        <v>96</v>
      </c>
      <c r="J95" s="254">
        <f>ROUND(33*J$2/1000,0)</f>
        <v>63</v>
      </c>
      <c r="K95" s="255" t="s">
        <v>0</v>
      </c>
      <c r="L95" s="652"/>
      <c r="M95" s="413" t="s">
        <v>394</v>
      </c>
      <c r="N95" s="380"/>
      <c r="O95" s="367">
        <f>ROUND(40*O$2/1000,0)</f>
        <v>70</v>
      </c>
      <c r="P95" s="418" t="s">
        <v>0</v>
      </c>
      <c r="Q95" s="640"/>
      <c r="R95" s="583"/>
      <c r="S95" s="584"/>
      <c r="T95" s="584"/>
      <c r="U95" s="585"/>
      <c r="V95" s="573"/>
      <c r="W95" s="373" t="s">
        <v>168</v>
      </c>
      <c r="X95" s="380" t="s">
        <v>96</v>
      </c>
      <c r="Y95" s="374">
        <f>ROUND(7*J$2/1000,0)</f>
        <v>13</v>
      </c>
      <c r="Z95" s="375" t="s">
        <v>0</v>
      </c>
      <c r="AA95" s="568"/>
      <c r="AB95" s="97" t="s">
        <v>131</v>
      </c>
      <c r="AC95" s="13"/>
      <c r="AD95" s="254">
        <f>ROUND(5*AD$2/1000,0)</f>
        <v>9</v>
      </c>
      <c r="AE95" s="255" t="s">
        <v>0</v>
      </c>
      <c r="AF95" s="644"/>
      <c r="AG95" s="198"/>
      <c r="AH95" s="199"/>
      <c r="AI95" s="200"/>
      <c r="AJ95" s="197"/>
      <c r="AK95" s="91"/>
      <c r="AL95"/>
      <c r="AM95"/>
      <c r="AN95"/>
      <c r="AO95"/>
      <c r="AP95"/>
      <c r="AQ95"/>
      <c r="AR95"/>
      <c r="AS95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86" s="1" customFormat="1" ht="18" customHeight="1">
      <c r="A96" s="515"/>
      <c r="B96" s="649"/>
      <c r="C96" s="195"/>
      <c r="D96" s="195"/>
      <c r="E96" s="196"/>
      <c r="F96" s="199"/>
      <c r="G96" s="568"/>
      <c r="H96" s="95" t="s">
        <v>134</v>
      </c>
      <c r="I96" s="13" t="s">
        <v>96</v>
      </c>
      <c r="J96" s="367">
        <f>ROUND(12*J$2/1000,0)</f>
        <v>23</v>
      </c>
      <c r="K96" s="255" t="s">
        <v>0</v>
      </c>
      <c r="L96" s="652"/>
      <c r="M96" s="413" t="s">
        <v>6</v>
      </c>
      <c r="N96" s="380"/>
      <c r="O96" s="367">
        <f>ROUND(8*O$2/1000,0)</f>
        <v>14</v>
      </c>
      <c r="P96" s="418" t="s">
        <v>0</v>
      </c>
      <c r="Q96" s="640"/>
      <c r="R96" s="583"/>
      <c r="S96" s="584"/>
      <c r="T96" s="584"/>
      <c r="U96" s="585"/>
      <c r="V96" s="573"/>
      <c r="W96" s="373" t="s">
        <v>83</v>
      </c>
      <c r="X96" s="380"/>
      <c r="Y96" s="374">
        <f>ROUND(10*J$2/1000,0)</f>
        <v>19</v>
      </c>
      <c r="Z96" s="375" t="s">
        <v>0</v>
      </c>
      <c r="AA96" s="568"/>
      <c r="AB96" s="97" t="s">
        <v>225</v>
      </c>
      <c r="AC96" s="13"/>
      <c r="AD96" s="254">
        <f>ROUND(2*AD$2/1000,0)</f>
        <v>3</v>
      </c>
      <c r="AE96" s="255" t="s">
        <v>0</v>
      </c>
      <c r="AF96" s="644"/>
      <c r="AG96" s="198"/>
      <c r="AH96" s="199"/>
      <c r="AI96" s="200"/>
      <c r="AJ96" s="197"/>
      <c r="AK96" s="91"/>
      <c r="AL96"/>
      <c r="AM96"/>
      <c r="AN96"/>
      <c r="AO96"/>
      <c r="AP96"/>
      <c r="AQ96"/>
      <c r="AR96"/>
      <c r="AS96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1:86" s="1" customFormat="1" ht="18" customHeight="1">
      <c r="A97" s="515"/>
      <c r="B97" s="649"/>
      <c r="C97" s="195"/>
      <c r="D97" s="195"/>
      <c r="E97" s="196"/>
      <c r="F97" s="209"/>
      <c r="G97" s="568"/>
      <c r="H97" s="95" t="s">
        <v>226</v>
      </c>
      <c r="I97" s="13"/>
      <c r="J97" s="254">
        <v>9</v>
      </c>
      <c r="K97" s="263" t="s">
        <v>21</v>
      </c>
      <c r="L97" s="652"/>
      <c r="M97" s="97"/>
      <c r="N97" s="13"/>
      <c r="O97" s="254"/>
      <c r="P97" s="255" t="s">
        <v>0</v>
      </c>
      <c r="Q97" s="640"/>
      <c r="R97" s="583"/>
      <c r="S97" s="584"/>
      <c r="T97" s="584"/>
      <c r="U97" s="585"/>
      <c r="V97" s="573"/>
      <c r="W97" s="373" t="s">
        <v>122</v>
      </c>
      <c r="X97" s="380"/>
      <c r="Y97" s="374">
        <f>ROUND(48*J$2/1000,0)</f>
        <v>91</v>
      </c>
      <c r="Z97" s="375" t="s">
        <v>0</v>
      </c>
      <c r="AA97" s="568"/>
      <c r="AB97" s="413" t="s">
        <v>262</v>
      </c>
      <c r="AC97" s="380"/>
      <c r="AD97" s="374">
        <v>5</v>
      </c>
      <c r="AE97" s="58" t="s">
        <v>5</v>
      </c>
      <c r="AF97" s="644"/>
      <c r="AG97" s="198"/>
      <c r="AH97" s="199"/>
      <c r="AI97" s="200"/>
      <c r="AJ97" s="197"/>
      <c r="AK97" s="91"/>
      <c r="AL97"/>
      <c r="AM97"/>
      <c r="AN97"/>
      <c r="AO97"/>
      <c r="AP97"/>
      <c r="AQ97"/>
      <c r="AR97"/>
      <c r="AS97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1:86" s="1" customFormat="1" ht="18" customHeight="1">
      <c r="A98" s="515"/>
      <c r="B98" s="649"/>
      <c r="C98" s="195"/>
      <c r="D98" s="195"/>
      <c r="E98" s="196"/>
      <c r="F98" s="199"/>
      <c r="G98" s="568"/>
      <c r="H98" s="440" t="s">
        <v>238</v>
      </c>
      <c r="I98" s="13"/>
      <c r="J98" s="367">
        <f>ROUND(5*J$2/1000,0)</f>
        <v>10</v>
      </c>
      <c r="K98" s="255" t="s">
        <v>0</v>
      </c>
      <c r="L98" s="652"/>
      <c r="M98" s="97"/>
      <c r="N98" s="13"/>
      <c r="O98" s="254"/>
      <c r="P98" s="255" t="s">
        <v>0</v>
      </c>
      <c r="Q98" s="640"/>
      <c r="R98" s="97"/>
      <c r="S98" s="13"/>
      <c r="T98" s="254"/>
      <c r="U98" s="255" t="s">
        <v>0</v>
      </c>
      <c r="V98" s="573"/>
      <c r="W98" s="373"/>
      <c r="X98" s="380"/>
      <c r="Y98" s="374"/>
      <c r="Z98" s="375" t="s">
        <v>0</v>
      </c>
      <c r="AA98" s="568"/>
      <c r="AB98" s="97"/>
      <c r="AC98" s="13"/>
      <c r="AD98" s="254"/>
      <c r="AE98" s="255" t="s">
        <v>0</v>
      </c>
      <c r="AF98" s="644"/>
      <c r="AG98" s="198"/>
      <c r="AH98" s="199"/>
      <c r="AI98" s="200"/>
      <c r="AJ98" s="197"/>
      <c r="AK98" s="91"/>
      <c r="AL98"/>
      <c r="AM98"/>
      <c r="AN98"/>
      <c r="AO98"/>
      <c r="AP98"/>
      <c r="AQ98"/>
      <c r="AR98"/>
      <c r="AS98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1:86" s="1" customFormat="1" ht="18" customHeight="1">
      <c r="A99" s="515"/>
      <c r="B99" s="649"/>
      <c r="C99" s="195"/>
      <c r="D99" s="195"/>
      <c r="E99" s="196"/>
      <c r="F99" s="209"/>
      <c r="G99" s="568"/>
      <c r="H99" s="440" t="s">
        <v>384</v>
      </c>
      <c r="I99" s="13"/>
      <c r="J99" s="367">
        <f>ROUND(3*J$2/1000,0)</f>
        <v>6</v>
      </c>
      <c r="K99" s="255" t="s">
        <v>0</v>
      </c>
      <c r="L99" s="652"/>
      <c r="M99" s="97"/>
      <c r="N99" s="13"/>
      <c r="O99" s="254"/>
      <c r="P99" s="255" t="s">
        <v>0</v>
      </c>
      <c r="Q99" s="640"/>
      <c r="R99" s="97"/>
      <c r="S99" s="13"/>
      <c r="T99" s="254"/>
      <c r="U99" s="255" t="s">
        <v>0</v>
      </c>
      <c r="V99" s="573"/>
      <c r="W99" s="373"/>
      <c r="X99" s="380"/>
      <c r="Y99" s="374"/>
      <c r="Z99" s="375" t="s">
        <v>0</v>
      </c>
      <c r="AA99" s="568"/>
      <c r="AB99" s="97"/>
      <c r="AC99" s="13"/>
      <c r="AD99" s="254"/>
      <c r="AE99" s="255" t="s">
        <v>0</v>
      </c>
      <c r="AF99" s="644"/>
      <c r="AG99" s="198"/>
      <c r="AH99" s="199"/>
      <c r="AI99" s="200"/>
      <c r="AJ99" s="197"/>
      <c r="AK99" s="91"/>
      <c r="AL99"/>
      <c r="AM99"/>
      <c r="AN99"/>
      <c r="AO99"/>
      <c r="AP99"/>
      <c r="AQ99"/>
      <c r="AR99"/>
      <c r="AS99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1:86" s="1" customFormat="1" ht="18" customHeight="1" thickBot="1">
      <c r="A100" s="515"/>
      <c r="B100" s="649"/>
      <c r="C100" s="195"/>
      <c r="D100" s="195"/>
      <c r="E100" s="196"/>
      <c r="F100" s="209"/>
      <c r="G100" s="568"/>
      <c r="H100" s="469"/>
      <c r="I100" s="14"/>
      <c r="J100" s="367"/>
      <c r="K100" s="257" t="s">
        <v>0</v>
      </c>
      <c r="L100" s="652"/>
      <c r="M100" s="94"/>
      <c r="N100" s="14"/>
      <c r="O100" s="261"/>
      <c r="P100" s="257" t="s">
        <v>0</v>
      </c>
      <c r="Q100" s="640"/>
      <c r="R100" s="94"/>
      <c r="S100" s="14"/>
      <c r="T100" s="261"/>
      <c r="U100" s="257" t="s">
        <v>0</v>
      </c>
      <c r="V100" s="573"/>
      <c r="W100" s="384"/>
      <c r="X100" s="385"/>
      <c r="Y100" s="420"/>
      <c r="Z100" s="386" t="s">
        <v>0</v>
      </c>
      <c r="AA100" s="568"/>
      <c r="AB100" s="94"/>
      <c r="AC100" s="14"/>
      <c r="AD100" s="261"/>
      <c r="AE100" s="257" t="s">
        <v>0</v>
      </c>
      <c r="AF100" s="644"/>
      <c r="AG100" s="198"/>
      <c r="AH100" s="199"/>
      <c r="AI100" s="200"/>
      <c r="AJ100" s="197"/>
      <c r="AK100" s="91"/>
      <c r="AL100"/>
      <c r="AM100"/>
      <c r="AN100"/>
      <c r="AO100"/>
      <c r="AP100"/>
      <c r="AQ100"/>
      <c r="AR100"/>
      <c r="AS100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1:86" s="1" customFormat="1" ht="18" hidden="1" customHeight="1" thickBot="1">
      <c r="A101" s="515"/>
      <c r="B101" s="649"/>
      <c r="C101" s="195"/>
      <c r="D101" s="195"/>
      <c r="E101" s="196"/>
      <c r="F101" s="209"/>
      <c r="G101" s="568"/>
      <c r="H101" s="95"/>
      <c r="I101" s="13"/>
      <c r="J101" s="254"/>
      <c r="K101" s="255" t="s">
        <v>0</v>
      </c>
      <c r="L101" s="652"/>
      <c r="M101" s="95"/>
      <c r="N101" s="13"/>
      <c r="O101" s="254"/>
      <c r="P101" s="255" t="s">
        <v>0</v>
      </c>
      <c r="Q101" s="640"/>
      <c r="R101" s="95"/>
      <c r="S101" s="13"/>
      <c r="T101" s="254"/>
      <c r="U101" s="255" t="s">
        <v>0</v>
      </c>
      <c r="V101" s="573"/>
      <c r="W101" s="208"/>
      <c r="X101" s="13"/>
      <c r="Y101" s="254"/>
      <c r="Z101" s="255" t="s">
        <v>0</v>
      </c>
      <c r="AA101" s="568"/>
      <c r="AB101" s="95"/>
      <c r="AC101" s="13"/>
      <c r="AD101" s="254"/>
      <c r="AE101" s="255" t="s">
        <v>0</v>
      </c>
      <c r="AF101" s="644"/>
      <c r="AG101" s="198"/>
      <c r="AH101" s="199"/>
      <c r="AI101" s="200"/>
      <c r="AJ101" s="197"/>
      <c r="AK101" s="91"/>
      <c r="AL101"/>
      <c r="AM101"/>
      <c r="AN101"/>
      <c r="AO101"/>
      <c r="AP101"/>
      <c r="AQ101"/>
      <c r="AR101"/>
      <c r="AS101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1:86" s="1" customFormat="1" ht="18" hidden="1" customHeight="1">
      <c r="A102" s="515"/>
      <c r="B102" s="649"/>
      <c r="C102" s="195"/>
      <c r="D102" s="195"/>
      <c r="E102" s="196"/>
      <c r="F102" s="209"/>
      <c r="G102" s="568"/>
      <c r="H102" s="95"/>
      <c r="I102" s="13"/>
      <c r="J102" s="254"/>
      <c r="K102" s="255" t="s">
        <v>0</v>
      </c>
      <c r="L102" s="652"/>
      <c r="M102" s="95"/>
      <c r="N102" s="13"/>
      <c r="O102" s="254"/>
      <c r="P102" s="255" t="s">
        <v>0</v>
      </c>
      <c r="Q102" s="640"/>
      <c r="R102" s="95"/>
      <c r="S102" s="13"/>
      <c r="T102" s="254"/>
      <c r="U102" s="255" t="s">
        <v>0</v>
      </c>
      <c r="V102" s="573"/>
      <c r="W102" s="208"/>
      <c r="X102" s="13"/>
      <c r="Y102" s="254"/>
      <c r="Z102" s="255" t="s">
        <v>0</v>
      </c>
      <c r="AA102" s="568"/>
      <c r="AB102" s="95"/>
      <c r="AC102" s="13"/>
      <c r="AD102" s="254"/>
      <c r="AE102" s="255" t="s">
        <v>0</v>
      </c>
      <c r="AF102" s="644"/>
      <c r="AG102" s="198"/>
      <c r="AH102" s="199"/>
      <c r="AI102" s="200"/>
      <c r="AJ102" s="197"/>
      <c r="AK102" s="91"/>
      <c r="AL102"/>
      <c r="AM102"/>
      <c r="AN102"/>
      <c r="AO102"/>
      <c r="AP102"/>
      <c r="AQ102"/>
      <c r="AR102"/>
      <c r="AS102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1:86" s="1" customFormat="1" ht="18" hidden="1" customHeight="1">
      <c r="A103" s="515"/>
      <c r="B103" s="649"/>
      <c r="C103" s="195"/>
      <c r="D103" s="195"/>
      <c r="E103" s="196"/>
      <c r="F103" s="209"/>
      <c r="G103" s="568"/>
      <c r="H103" s="95"/>
      <c r="I103" s="13"/>
      <c r="J103" s="254"/>
      <c r="K103" s="258"/>
      <c r="L103" s="652"/>
      <c r="M103" s="95"/>
      <c r="N103" s="13"/>
      <c r="O103" s="254"/>
      <c r="P103" s="258"/>
      <c r="Q103" s="640"/>
      <c r="R103" s="95"/>
      <c r="S103" s="13"/>
      <c r="T103" s="254"/>
      <c r="U103" s="258"/>
      <c r="V103" s="573"/>
      <c r="W103" s="208"/>
      <c r="X103" s="13"/>
      <c r="Y103" s="254"/>
      <c r="Z103" s="258"/>
      <c r="AA103" s="568"/>
      <c r="AB103" s="95"/>
      <c r="AC103" s="13"/>
      <c r="AD103" s="254"/>
      <c r="AE103" s="258"/>
      <c r="AF103" s="644"/>
      <c r="AG103" s="198"/>
      <c r="AH103" s="199"/>
      <c r="AI103" s="200"/>
      <c r="AJ103" s="197"/>
      <c r="AK103" s="91"/>
      <c r="AL103"/>
      <c r="AM103"/>
      <c r="AN103"/>
      <c r="AO103"/>
      <c r="AP103"/>
      <c r="AQ103"/>
      <c r="AR103"/>
      <c r="AS103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86" s="1" customFormat="1" ht="18" hidden="1" customHeight="1">
      <c r="A104" s="515"/>
      <c r="B104" s="649"/>
      <c r="C104" s="195"/>
      <c r="D104" s="195"/>
      <c r="E104" s="196"/>
      <c r="F104" s="209"/>
      <c r="G104" s="568"/>
      <c r="H104" s="95"/>
      <c r="I104" s="13"/>
      <c r="J104" s="254"/>
      <c r="K104" s="258"/>
      <c r="L104" s="652"/>
      <c r="M104" s="95"/>
      <c r="N104" s="13"/>
      <c r="O104" s="254"/>
      <c r="P104" s="258"/>
      <c r="Q104" s="640"/>
      <c r="R104" s="95"/>
      <c r="S104" s="13"/>
      <c r="T104" s="254"/>
      <c r="U104" s="258"/>
      <c r="V104" s="573"/>
      <c r="W104" s="208"/>
      <c r="X104" s="13"/>
      <c r="Y104" s="254"/>
      <c r="Z104" s="258"/>
      <c r="AA104" s="568"/>
      <c r="AB104" s="95"/>
      <c r="AC104" s="13"/>
      <c r="AD104" s="254"/>
      <c r="AE104" s="258"/>
      <c r="AF104" s="644"/>
      <c r="AG104" s="198"/>
      <c r="AH104" s="199"/>
      <c r="AI104" s="200"/>
      <c r="AJ104" s="197"/>
      <c r="AK104" s="91"/>
      <c r="AL104"/>
      <c r="AM104"/>
      <c r="AN104"/>
      <c r="AO104"/>
      <c r="AP104"/>
      <c r="AQ104"/>
      <c r="AR104"/>
      <c r="AS10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86" s="1" customFormat="1" ht="18" hidden="1" customHeight="1">
      <c r="A105" s="515"/>
      <c r="B105" s="649"/>
      <c r="C105" s="195"/>
      <c r="D105" s="195"/>
      <c r="E105" s="196"/>
      <c r="F105" s="209"/>
      <c r="G105" s="568"/>
      <c r="H105" s="95"/>
      <c r="I105" s="13"/>
      <c r="J105" s="254"/>
      <c r="K105" s="258"/>
      <c r="L105" s="652"/>
      <c r="M105" s="95"/>
      <c r="N105" s="13"/>
      <c r="O105" s="254"/>
      <c r="P105" s="258"/>
      <c r="Q105" s="640"/>
      <c r="R105" s="95"/>
      <c r="S105" s="13"/>
      <c r="T105" s="254"/>
      <c r="U105" s="258"/>
      <c r="V105" s="573"/>
      <c r="W105" s="208"/>
      <c r="X105" s="13"/>
      <c r="Y105" s="254"/>
      <c r="Z105" s="258"/>
      <c r="AA105" s="568"/>
      <c r="AB105" s="95"/>
      <c r="AC105" s="13"/>
      <c r="AD105" s="254"/>
      <c r="AE105" s="258"/>
      <c r="AF105" s="644"/>
      <c r="AG105" s="198"/>
      <c r="AH105" s="199"/>
      <c r="AI105" s="200"/>
      <c r="AJ105" s="197"/>
      <c r="AK105" s="91"/>
      <c r="AL105"/>
      <c r="AM105"/>
      <c r="AN105"/>
      <c r="AO105"/>
      <c r="AP105"/>
      <c r="AQ105"/>
      <c r="AR105"/>
      <c r="AS105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86" s="1" customFormat="1" ht="18" hidden="1" customHeight="1">
      <c r="A106" s="515"/>
      <c r="B106" s="649"/>
      <c r="C106" s="195"/>
      <c r="D106" s="195"/>
      <c r="E106" s="196"/>
      <c r="F106" s="209"/>
      <c r="G106" s="568"/>
      <c r="H106" s="95"/>
      <c r="I106" s="13"/>
      <c r="J106" s="254"/>
      <c r="K106" s="258"/>
      <c r="L106" s="652"/>
      <c r="M106" s="95"/>
      <c r="N106" s="13"/>
      <c r="O106" s="254"/>
      <c r="P106" s="258"/>
      <c r="Q106" s="640"/>
      <c r="R106" s="95"/>
      <c r="S106" s="13"/>
      <c r="T106" s="254"/>
      <c r="U106" s="258"/>
      <c r="V106" s="573"/>
      <c r="W106" s="208"/>
      <c r="X106" s="13"/>
      <c r="Y106" s="254"/>
      <c r="Z106" s="258"/>
      <c r="AA106" s="568"/>
      <c r="AB106" s="95"/>
      <c r="AC106" s="13"/>
      <c r="AD106" s="254"/>
      <c r="AE106" s="258"/>
      <c r="AF106" s="644"/>
      <c r="AG106" s="198"/>
      <c r="AH106" s="199"/>
      <c r="AI106" s="200"/>
      <c r="AJ106" s="197"/>
      <c r="AK106" s="91"/>
      <c r="AL106"/>
      <c r="AM106"/>
      <c r="AN106"/>
      <c r="AO106"/>
      <c r="AP106"/>
      <c r="AQ106"/>
      <c r="AR106"/>
      <c r="AS106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86" s="1" customFormat="1" ht="18" hidden="1" customHeight="1">
      <c r="A107" s="515"/>
      <c r="B107" s="649"/>
      <c r="C107" s="195"/>
      <c r="D107" s="195"/>
      <c r="E107" s="196"/>
      <c r="F107" s="209"/>
      <c r="G107" s="568"/>
      <c r="H107" s="95"/>
      <c r="I107" s="13"/>
      <c r="J107" s="254"/>
      <c r="K107" s="258"/>
      <c r="L107" s="652"/>
      <c r="M107" s="95"/>
      <c r="N107" s="13"/>
      <c r="O107" s="254"/>
      <c r="P107" s="258"/>
      <c r="Q107" s="640"/>
      <c r="R107" s="95"/>
      <c r="S107" s="13"/>
      <c r="T107" s="254"/>
      <c r="U107" s="258"/>
      <c r="V107" s="573"/>
      <c r="W107" s="208"/>
      <c r="X107" s="13"/>
      <c r="Y107" s="254"/>
      <c r="Z107" s="258"/>
      <c r="AA107" s="568"/>
      <c r="AB107" s="95"/>
      <c r="AC107" s="13"/>
      <c r="AD107" s="254"/>
      <c r="AE107" s="258"/>
      <c r="AF107" s="644"/>
      <c r="AG107" s="198"/>
      <c r="AH107" s="199"/>
      <c r="AI107" s="200"/>
      <c r="AJ107" s="197"/>
      <c r="AK107" s="91"/>
      <c r="AL107"/>
      <c r="AM107"/>
      <c r="AN107"/>
      <c r="AO107"/>
      <c r="AP107"/>
      <c r="AQ107"/>
      <c r="AR107"/>
      <c r="AS107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86" s="1" customFormat="1" ht="18" hidden="1" customHeight="1">
      <c r="A108" s="593"/>
      <c r="B108" s="650"/>
      <c r="C108" s="202"/>
      <c r="D108" s="202"/>
      <c r="E108" s="203"/>
      <c r="F108" s="211"/>
      <c r="G108" s="569"/>
      <c r="H108" s="95"/>
      <c r="I108" s="13"/>
      <c r="J108" s="254"/>
      <c r="K108" s="259"/>
      <c r="L108" s="653"/>
      <c r="M108" s="95"/>
      <c r="N108" s="13"/>
      <c r="O108" s="254"/>
      <c r="P108" s="259"/>
      <c r="Q108" s="641"/>
      <c r="R108" s="95"/>
      <c r="S108" s="13"/>
      <c r="T108" s="254"/>
      <c r="U108" s="259"/>
      <c r="V108" s="574"/>
      <c r="W108" s="208"/>
      <c r="X108" s="13"/>
      <c r="Y108" s="254"/>
      <c r="Z108" s="259"/>
      <c r="AA108" s="569"/>
      <c r="AB108" s="95"/>
      <c r="AC108" s="13"/>
      <c r="AD108" s="254"/>
      <c r="AE108" s="259"/>
      <c r="AF108" s="645"/>
      <c r="AG108" s="205"/>
      <c r="AH108" s="206"/>
      <c r="AI108" s="207"/>
      <c r="AJ108" s="204"/>
      <c r="AK108" s="91"/>
      <c r="AL108"/>
      <c r="AM108"/>
      <c r="AN108"/>
      <c r="AO108"/>
      <c r="AP108"/>
      <c r="AQ108"/>
      <c r="AR108"/>
      <c r="AS108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86" s="1" customFormat="1" ht="18" customHeight="1">
      <c r="A109" s="592" t="s">
        <v>53</v>
      </c>
      <c r="B109" s="643"/>
      <c r="C109" s="187"/>
      <c r="D109" s="188"/>
      <c r="E109" s="189"/>
      <c r="F109" s="190"/>
      <c r="G109" s="597" t="s">
        <v>258</v>
      </c>
      <c r="H109" s="120" t="s">
        <v>108</v>
      </c>
      <c r="I109" s="123"/>
      <c r="J109" s="121">
        <f>ROUND(30*J$266/1000,0)</f>
        <v>18</v>
      </c>
      <c r="K109" s="122" t="s">
        <v>5</v>
      </c>
      <c r="L109" s="594" t="s">
        <v>382</v>
      </c>
      <c r="M109" s="387" t="s">
        <v>169</v>
      </c>
      <c r="N109" s="388"/>
      <c r="O109" s="372">
        <f>ROUND(70*O$266/1000,0)</f>
        <v>41</v>
      </c>
      <c r="P109" s="122" t="s">
        <v>5</v>
      </c>
      <c r="Q109" s="594" t="s">
        <v>345</v>
      </c>
      <c r="R109" s="387" t="s">
        <v>8</v>
      </c>
      <c r="S109" s="388"/>
      <c r="T109" s="372">
        <f>ROUND(58*T$266/1000,0)</f>
        <v>34</v>
      </c>
      <c r="U109" s="421" t="s">
        <v>5</v>
      </c>
      <c r="V109" s="597" t="s">
        <v>259</v>
      </c>
      <c r="W109" s="120" t="s">
        <v>187</v>
      </c>
      <c r="X109" s="123"/>
      <c r="Y109" s="121">
        <f>ROUND(15*Y$266/1000,0)</f>
        <v>9</v>
      </c>
      <c r="Z109" s="122" t="s">
        <v>5</v>
      </c>
      <c r="AA109" s="646" t="s">
        <v>404</v>
      </c>
      <c r="AB109" s="120" t="s">
        <v>405</v>
      </c>
      <c r="AC109" s="123"/>
      <c r="AD109" s="121">
        <f>AD266*2*1.03</f>
        <v>1215.4000000000001</v>
      </c>
      <c r="AE109" s="122" t="s">
        <v>135</v>
      </c>
      <c r="AF109" s="616"/>
      <c r="AG109" s="97"/>
      <c r="AH109" s="95"/>
      <c r="AI109" s="56"/>
      <c r="AJ109" s="34"/>
      <c r="AK109" s="91"/>
      <c r="AL109"/>
      <c r="AM109"/>
      <c r="AN109"/>
      <c r="AO109"/>
      <c r="AP109"/>
      <c r="AQ109"/>
      <c r="AR109"/>
      <c r="AS109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86" s="1" customFormat="1" ht="18" customHeight="1">
      <c r="A110" s="515"/>
      <c r="B110" s="644"/>
      <c r="C110" s="194"/>
      <c r="D110" s="195"/>
      <c r="E110" s="196"/>
      <c r="F110" s="197"/>
      <c r="G110" s="598"/>
      <c r="H110" s="124" t="s">
        <v>122</v>
      </c>
      <c r="I110" s="128"/>
      <c r="J110" s="126">
        <f>ROUND(55*J$266/1000,0)</f>
        <v>32</v>
      </c>
      <c r="K110" s="127" t="s">
        <v>5</v>
      </c>
      <c r="L110" s="595"/>
      <c r="M110" s="370" t="s">
        <v>393</v>
      </c>
      <c r="N110" s="446"/>
      <c r="O110" s="371">
        <f>MROUND(10*O$266/1000,1.8)</f>
        <v>5.4</v>
      </c>
      <c r="P110" s="127" t="s">
        <v>5</v>
      </c>
      <c r="Q110" s="595"/>
      <c r="R110" s="370" t="s">
        <v>124</v>
      </c>
      <c r="S110" s="389"/>
      <c r="T110" s="371">
        <f>ROUND(20*T$266/1000,0)</f>
        <v>12</v>
      </c>
      <c r="U110" s="422" t="s">
        <v>5</v>
      </c>
      <c r="V110" s="598"/>
      <c r="W110" s="124" t="s">
        <v>121</v>
      </c>
      <c r="X110" s="128"/>
      <c r="Y110" s="126">
        <f>ROUND(8*Y$266/1000,0)</f>
        <v>5</v>
      </c>
      <c r="Z110" s="127" t="s">
        <v>5</v>
      </c>
      <c r="AA110" s="647"/>
      <c r="AB110" s="124"/>
      <c r="AC110" s="128"/>
      <c r="AD110" s="126"/>
      <c r="AE110" s="127" t="s">
        <v>5</v>
      </c>
      <c r="AF110" s="617"/>
      <c r="AG110" s="97"/>
      <c r="AH110" s="95"/>
      <c r="AI110" s="57"/>
      <c r="AJ110" s="58"/>
      <c r="AK110" s="91"/>
      <c r="AL110"/>
      <c r="AM110"/>
      <c r="AN110"/>
      <c r="AO110"/>
      <c r="AP110"/>
      <c r="AQ110"/>
      <c r="AR110"/>
      <c r="AS110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86" s="1" customFormat="1" ht="18" customHeight="1">
      <c r="A111" s="515"/>
      <c r="B111" s="644"/>
      <c r="C111" s="194"/>
      <c r="D111" s="195"/>
      <c r="E111" s="196"/>
      <c r="F111" s="197"/>
      <c r="G111" s="598"/>
      <c r="H111" s="319" t="s">
        <v>141</v>
      </c>
      <c r="I111" s="113"/>
      <c r="J111" s="360">
        <v>0.5</v>
      </c>
      <c r="K111" s="127" t="s">
        <v>5</v>
      </c>
      <c r="L111" s="595"/>
      <c r="M111" s="370" t="s">
        <v>93</v>
      </c>
      <c r="N111" s="389" t="s">
        <v>97</v>
      </c>
      <c r="O111" s="371">
        <v>2</v>
      </c>
      <c r="P111" s="127" t="s">
        <v>5</v>
      </c>
      <c r="Q111" s="595"/>
      <c r="R111" s="370" t="s">
        <v>6</v>
      </c>
      <c r="S111" s="389"/>
      <c r="T111" s="371">
        <f>ROUND(3*T$266/1000,0)</f>
        <v>2</v>
      </c>
      <c r="U111" s="422" t="s">
        <v>5</v>
      </c>
      <c r="V111" s="598"/>
      <c r="W111" s="124" t="s">
        <v>276</v>
      </c>
      <c r="X111" s="128"/>
      <c r="Y111" s="126">
        <v>6</v>
      </c>
      <c r="Z111" s="127" t="s">
        <v>5</v>
      </c>
      <c r="AA111" s="647"/>
      <c r="AB111" s="124"/>
      <c r="AC111" s="128"/>
      <c r="AD111" s="126"/>
      <c r="AE111" s="127" t="s">
        <v>5</v>
      </c>
      <c r="AF111" s="617"/>
      <c r="AG111" s="97"/>
      <c r="AH111" s="95"/>
      <c r="AI111" s="57"/>
      <c r="AJ111" s="58"/>
      <c r="AK111" s="91"/>
      <c r="AL111"/>
      <c r="AM111"/>
      <c r="AN111"/>
      <c r="AO111"/>
      <c r="AP111"/>
      <c r="AQ111"/>
      <c r="AR111"/>
      <c r="AS111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86" s="1" customFormat="1" ht="18" customHeight="1">
      <c r="A112" s="515"/>
      <c r="B112" s="644"/>
      <c r="C112" s="194"/>
      <c r="D112" s="195"/>
      <c r="E112" s="196"/>
      <c r="F112" s="197"/>
      <c r="G112" s="598"/>
      <c r="H112" s="124"/>
      <c r="I112" s="128"/>
      <c r="J112" s="126"/>
      <c r="K112" s="127" t="s">
        <v>5</v>
      </c>
      <c r="L112" s="595"/>
      <c r="M112" s="370"/>
      <c r="N112" s="389"/>
      <c r="O112" s="371"/>
      <c r="P112" s="127" t="s">
        <v>5</v>
      </c>
      <c r="Q112" s="595"/>
      <c r="R112" s="370" t="s">
        <v>83</v>
      </c>
      <c r="S112" s="389"/>
      <c r="T112" s="371">
        <f>ROUND(4*T$267/1000,0)</f>
        <v>5</v>
      </c>
      <c r="U112" s="422" t="s">
        <v>5</v>
      </c>
      <c r="V112" s="598"/>
      <c r="W112" s="124" t="s">
        <v>98</v>
      </c>
      <c r="X112" s="128"/>
      <c r="Y112" s="126">
        <v>0.6</v>
      </c>
      <c r="Z112" s="127" t="s">
        <v>5</v>
      </c>
      <c r="AA112" s="647"/>
      <c r="AB112" s="124"/>
      <c r="AC112" s="128"/>
      <c r="AD112" s="126"/>
      <c r="AE112" s="127" t="s">
        <v>5</v>
      </c>
      <c r="AF112" s="617"/>
      <c r="AG112" s="97"/>
      <c r="AH112" s="95"/>
      <c r="AI112" s="57"/>
      <c r="AJ112" s="58"/>
      <c r="AK112" s="91"/>
      <c r="AL112"/>
      <c r="AM112"/>
      <c r="AN112"/>
      <c r="AO112"/>
      <c r="AP112"/>
      <c r="AQ112"/>
      <c r="AR112"/>
      <c r="AS112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1:86" s="1" customFormat="1" ht="18" customHeight="1">
      <c r="A113" s="515"/>
      <c r="B113" s="644"/>
      <c r="C113" s="194"/>
      <c r="D113" s="195"/>
      <c r="E113" s="196"/>
      <c r="F113" s="197"/>
      <c r="G113" s="598"/>
      <c r="H113" s="124"/>
      <c r="I113" s="128"/>
      <c r="J113" s="126"/>
      <c r="K113" s="127" t="s">
        <v>5</v>
      </c>
      <c r="L113" s="595"/>
      <c r="M113" s="370"/>
      <c r="N113" s="389"/>
      <c r="O113" s="371"/>
      <c r="P113" s="127" t="s">
        <v>5</v>
      </c>
      <c r="Q113" s="595"/>
      <c r="R113" s="370"/>
      <c r="S113" s="389"/>
      <c r="T113" s="371"/>
      <c r="U113" s="422" t="s">
        <v>5</v>
      </c>
      <c r="V113" s="598"/>
      <c r="W113" s="370" t="s">
        <v>93</v>
      </c>
      <c r="X113" s="389" t="s">
        <v>97</v>
      </c>
      <c r="Y113" s="371">
        <v>2</v>
      </c>
      <c r="Z113" s="127" t="s">
        <v>5</v>
      </c>
      <c r="AA113" s="647"/>
      <c r="AB113" s="124"/>
      <c r="AC113" s="128"/>
      <c r="AD113" s="126"/>
      <c r="AE113" s="127" t="s">
        <v>5</v>
      </c>
      <c r="AF113" s="617"/>
      <c r="AG113" s="97"/>
      <c r="AH113" s="95"/>
      <c r="AI113" s="57"/>
      <c r="AJ113" s="58"/>
      <c r="AK113" s="91"/>
      <c r="AL113"/>
      <c r="AM113"/>
      <c r="AN113"/>
      <c r="AO113"/>
      <c r="AP113"/>
      <c r="AQ113"/>
      <c r="AR113"/>
      <c r="AS113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1:86" s="1" customFormat="1" ht="18" customHeight="1">
      <c r="A114" s="515"/>
      <c r="B114" s="644"/>
      <c r="C114" s="194"/>
      <c r="D114" s="195"/>
      <c r="E114" s="196"/>
      <c r="F114" s="197"/>
      <c r="G114" s="598"/>
      <c r="H114" s="124"/>
      <c r="I114" s="128"/>
      <c r="J114" s="126"/>
      <c r="K114" s="127" t="s">
        <v>5</v>
      </c>
      <c r="L114" s="595"/>
      <c r="M114" s="124"/>
      <c r="N114" s="128"/>
      <c r="O114" s="126"/>
      <c r="P114" s="127" t="s">
        <v>5</v>
      </c>
      <c r="Q114" s="595"/>
      <c r="R114" s="370"/>
      <c r="S114" s="389"/>
      <c r="T114" s="371"/>
      <c r="U114" s="422" t="s">
        <v>5</v>
      </c>
      <c r="V114" s="598"/>
      <c r="W114" s="124"/>
      <c r="X114" s="128"/>
      <c r="Y114" s="126"/>
      <c r="Z114" s="127" t="s">
        <v>5</v>
      </c>
      <c r="AA114" s="647"/>
      <c r="AB114" s="124"/>
      <c r="AC114" s="128"/>
      <c r="AD114" s="126"/>
      <c r="AE114" s="127" t="s">
        <v>5</v>
      </c>
      <c r="AF114" s="617"/>
      <c r="AG114" s="97"/>
      <c r="AH114" s="95"/>
      <c r="AI114" s="57"/>
      <c r="AJ114" s="58"/>
      <c r="AK114" s="91"/>
      <c r="AL114"/>
      <c r="AM114"/>
      <c r="AN114"/>
      <c r="AO114"/>
      <c r="AP114"/>
      <c r="AQ114"/>
      <c r="AR114"/>
      <c r="AS11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1:86" s="1" customFormat="1" ht="18" customHeight="1" thickBot="1">
      <c r="A115" s="515"/>
      <c r="B115" s="644"/>
      <c r="C115" s="194"/>
      <c r="D115" s="195"/>
      <c r="E115" s="196"/>
      <c r="F115" s="197"/>
      <c r="G115" s="598"/>
      <c r="H115" s="129"/>
      <c r="I115" s="132"/>
      <c r="J115" s="126"/>
      <c r="K115" s="127" t="s">
        <v>5</v>
      </c>
      <c r="L115" s="595"/>
      <c r="M115" s="129"/>
      <c r="N115" s="132"/>
      <c r="O115" s="126"/>
      <c r="P115" s="127" t="s">
        <v>5</v>
      </c>
      <c r="Q115" s="595"/>
      <c r="R115" s="390"/>
      <c r="S115" s="391"/>
      <c r="T115" s="371"/>
      <c r="U115" s="422" t="s">
        <v>5</v>
      </c>
      <c r="V115" s="598"/>
      <c r="W115" s="129"/>
      <c r="X115" s="132"/>
      <c r="Y115" s="126"/>
      <c r="Z115" s="127" t="s">
        <v>5</v>
      </c>
      <c r="AA115" s="647"/>
      <c r="AB115" s="129"/>
      <c r="AC115" s="132"/>
      <c r="AD115" s="126"/>
      <c r="AE115" s="127" t="s">
        <v>5</v>
      </c>
      <c r="AF115" s="617"/>
      <c r="AG115" s="94"/>
      <c r="AH115" s="96"/>
      <c r="AI115" s="210"/>
      <c r="AJ115" s="103"/>
      <c r="AK115" s="91"/>
      <c r="AL115"/>
      <c r="AM115"/>
      <c r="AN115"/>
      <c r="AO115"/>
      <c r="AP115"/>
      <c r="AQ115"/>
      <c r="AR115"/>
      <c r="AS115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1:86" s="1" customFormat="1" ht="18" hidden="1" customHeight="1" thickBot="1">
      <c r="A116" s="515"/>
      <c r="B116" s="644"/>
      <c r="C116" s="194"/>
      <c r="D116" s="195"/>
      <c r="E116" s="196"/>
      <c r="F116" s="197"/>
      <c r="G116" s="598"/>
      <c r="H116" s="226"/>
      <c r="I116" s="128"/>
      <c r="J116" s="126"/>
      <c r="K116" s="127"/>
      <c r="L116" s="595"/>
      <c r="M116" s="226"/>
      <c r="N116" s="128"/>
      <c r="O116" s="126"/>
      <c r="P116" s="127"/>
      <c r="Q116" s="595"/>
      <c r="R116" s="226"/>
      <c r="S116" s="128"/>
      <c r="T116" s="126"/>
      <c r="U116" s="127"/>
      <c r="V116" s="598"/>
      <c r="W116" s="226"/>
      <c r="X116" s="128"/>
      <c r="Y116" s="126"/>
      <c r="Z116" s="127"/>
      <c r="AA116" s="647"/>
      <c r="AB116" s="226"/>
      <c r="AC116" s="128"/>
      <c r="AD116" s="126"/>
      <c r="AE116" s="127"/>
      <c r="AF116" s="617"/>
      <c r="AG116" s="95"/>
      <c r="AH116" s="95"/>
      <c r="AI116" s="57"/>
      <c r="AJ116" s="58"/>
      <c r="AK116" s="91"/>
      <c r="AL116"/>
      <c r="AM116"/>
      <c r="AN116"/>
      <c r="AO116"/>
      <c r="AP116"/>
      <c r="AQ116"/>
      <c r="AR116"/>
      <c r="AS116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1:86" s="1" customFormat="1" ht="18" hidden="1" customHeight="1">
      <c r="A117" s="515"/>
      <c r="B117" s="644"/>
      <c r="C117" s="194"/>
      <c r="D117" s="195"/>
      <c r="E117" s="196"/>
      <c r="F117" s="197"/>
      <c r="G117" s="598"/>
      <c r="H117" s="226"/>
      <c r="I117" s="128"/>
      <c r="J117" s="126"/>
      <c r="K117" s="127"/>
      <c r="L117" s="595"/>
      <c r="M117" s="226"/>
      <c r="N117" s="128"/>
      <c r="O117" s="126"/>
      <c r="P117" s="127"/>
      <c r="Q117" s="595"/>
      <c r="R117" s="226"/>
      <c r="S117" s="128"/>
      <c r="T117" s="126"/>
      <c r="U117" s="127"/>
      <c r="V117" s="598"/>
      <c r="W117" s="226"/>
      <c r="X117" s="128"/>
      <c r="Y117" s="126"/>
      <c r="Z117" s="127"/>
      <c r="AA117" s="647"/>
      <c r="AB117" s="226"/>
      <c r="AC117" s="128"/>
      <c r="AD117" s="126"/>
      <c r="AE117" s="127"/>
      <c r="AF117" s="617"/>
      <c r="AG117" s="95"/>
      <c r="AH117" s="95"/>
      <c r="AI117" s="57"/>
      <c r="AJ117" s="58"/>
      <c r="AK117" s="91"/>
      <c r="AL117"/>
      <c r="AM117"/>
      <c r="AN117"/>
      <c r="AO117"/>
      <c r="AP117"/>
      <c r="AQ117"/>
      <c r="AR117"/>
      <c r="AS117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1:86" s="1" customFormat="1" ht="18" hidden="1" customHeight="1">
      <c r="A118" s="515"/>
      <c r="B118" s="644"/>
      <c r="C118" s="194"/>
      <c r="D118" s="195"/>
      <c r="E118" s="196"/>
      <c r="F118" s="197"/>
      <c r="G118" s="598"/>
      <c r="H118" s="226"/>
      <c r="I118" s="128"/>
      <c r="J118" s="126"/>
      <c r="K118" s="133"/>
      <c r="L118" s="595"/>
      <c r="M118" s="226"/>
      <c r="N118" s="128"/>
      <c r="O118" s="126"/>
      <c r="P118" s="133"/>
      <c r="Q118" s="595"/>
      <c r="R118" s="226"/>
      <c r="S118" s="128"/>
      <c r="T118" s="126"/>
      <c r="U118" s="133"/>
      <c r="V118" s="598"/>
      <c r="W118" s="226"/>
      <c r="X118" s="128"/>
      <c r="Y118" s="126"/>
      <c r="Z118" s="133"/>
      <c r="AA118" s="647"/>
      <c r="AB118" s="226"/>
      <c r="AC118" s="128"/>
      <c r="AD118" s="126"/>
      <c r="AE118" s="133"/>
      <c r="AF118" s="617"/>
      <c r="AG118" s="95"/>
      <c r="AH118" s="95"/>
      <c r="AI118" s="57"/>
      <c r="AJ118" s="104"/>
      <c r="AK118" s="91"/>
      <c r="AL118"/>
      <c r="AM118"/>
      <c r="AN118"/>
      <c r="AO118"/>
      <c r="AP118"/>
      <c r="AQ118"/>
      <c r="AR118"/>
      <c r="AS118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1:86" s="1" customFormat="1" ht="18" hidden="1" customHeight="1">
      <c r="A119" s="515"/>
      <c r="B119" s="644"/>
      <c r="C119" s="194"/>
      <c r="D119" s="195"/>
      <c r="E119" s="196"/>
      <c r="F119" s="197"/>
      <c r="G119" s="598"/>
      <c r="H119" s="226"/>
      <c r="I119" s="128"/>
      <c r="J119" s="126"/>
      <c r="K119" s="133"/>
      <c r="L119" s="595"/>
      <c r="M119" s="226"/>
      <c r="N119" s="128"/>
      <c r="O119" s="126"/>
      <c r="P119" s="133"/>
      <c r="Q119" s="595"/>
      <c r="R119" s="226"/>
      <c r="S119" s="128"/>
      <c r="T119" s="126"/>
      <c r="U119" s="133"/>
      <c r="V119" s="598"/>
      <c r="W119" s="226"/>
      <c r="X119" s="128"/>
      <c r="Y119" s="126"/>
      <c r="Z119" s="133"/>
      <c r="AA119" s="647"/>
      <c r="AB119" s="226"/>
      <c r="AC119" s="128"/>
      <c r="AD119" s="126"/>
      <c r="AE119" s="133"/>
      <c r="AF119" s="617"/>
      <c r="AG119" s="95"/>
      <c r="AH119" s="95"/>
      <c r="AI119" s="57"/>
      <c r="AJ119" s="104"/>
      <c r="AK119" s="91"/>
      <c r="AL119"/>
      <c r="AM119"/>
      <c r="AN119"/>
      <c r="AO119"/>
      <c r="AP119"/>
      <c r="AQ119"/>
      <c r="AR119"/>
      <c r="AS119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1:86" s="1" customFormat="1" ht="18" hidden="1" customHeight="1">
      <c r="A120" s="515"/>
      <c r="B120" s="644"/>
      <c r="C120" s="194"/>
      <c r="D120" s="195"/>
      <c r="E120" s="196"/>
      <c r="F120" s="197"/>
      <c r="G120" s="598"/>
      <c r="H120" s="226"/>
      <c r="I120" s="128"/>
      <c r="J120" s="126"/>
      <c r="K120" s="133"/>
      <c r="L120" s="595"/>
      <c r="M120" s="226"/>
      <c r="N120" s="128"/>
      <c r="O120" s="126"/>
      <c r="P120" s="133"/>
      <c r="Q120" s="595"/>
      <c r="R120" s="226"/>
      <c r="S120" s="128"/>
      <c r="T120" s="126"/>
      <c r="U120" s="133"/>
      <c r="V120" s="598"/>
      <c r="W120" s="226"/>
      <c r="X120" s="128"/>
      <c r="Y120" s="126"/>
      <c r="Z120" s="133"/>
      <c r="AA120" s="647"/>
      <c r="AB120" s="226"/>
      <c r="AC120" s="128"/>
      <c r="AD120" s="126"/>
      <c r="AE120" s="133"/>
      <c r="AF120" s="617"/>
      <c r="AG120" s="95"/>
      <c r="AH120" s="95"/>
      <c r="AI120" s="57"/>
      <c r="AJ120" s="104"/>
      <c r="AK120" s="91"/>
      <c r="AL120"/>
      <c r="AM120"/>
      <c r="AN120"/>
      <c r="AO120"/>
      <c r="AP120"/>
      <c r="AQ120"/>
      <c r="AR120"/>
      <c r="AS120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1:86" s="1" customFormat="1" ht="18" hidden="1" customHeight="1">
      <c r="A121" s="515"/>
      <c r="B121" s="644"/>
      <c r="C121" s="194"/>
      <c r="D121" s="195"/>
      <c r="E121" s="196"/>
      <c r="F121" s="197"/>
      <c r="G121" s="598"/>
      <c r="H121" s="226"/>
      <c r="I121" s="128"/>
      <c r="J121" s="126"/>
      <c r="K121" s="133"/>
      <c r="L121" s="595"/>
      <c r="M121" s="226"/>
      <c r="N121" s="128"/>
      <c r="O121" s="126"/>
      <c r="P121" s="133"/>
      <c r="Q121" s="595"/>
      <c r="R121" s="226"/>
      <c r="S121" s="128"/>
      <c r="T121" s="126"/>
      <c r="U121" s="133"/>
      <c r="V121" s="598"/>
      <c r="W121" s="226"/>
      <c r="X121" s="128"/>
      <c r="Y121" s="126"/>
      <c r="Z121" s="133"/>
      <c r="AA121" s="647"/>
      <c r="AB121" s="226"/>
      <c r="AC121" s="128"/>
      <c r="AD121" s="126"/>
      <c r="AE121" s="133"/>
      <c r="AF121" s="617"/>
      <c r="AG121" s="95"/>
      <c r="AH121" s="95"/>
      <c r="AI121" s="57"/>
      <c r="AJ121" s="104"/>
      <c r="AK121" s="91"/>
      <c r="AL121"/>
      <c r="AM121"/>
      <c r="AN121"/>
      <c r="AO121"/>
      <c r="AP121"/>
      <c r="AQ121"/>
      <c r="AR121"/>
      <c r="AS121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1:86" s="1" customFormat="1" ht="18" hidden="1" customHeight="1">
      <c r="A122" s="515"/>
      <c r="B122" s="644"/>
      <c r="C122" s="194"/>
      <c r="D122" s="195"/>
      <c r="E122" s="196"/>
      <c r="F122" s="197"/>
      <c r="G122" s="598"/>
      <c r="H122" s="226"/>
      <c r="I122" s="128"/>
      <c r="J122" s="126"/>
      <c r="K122" s="133"/>
      <c r="L122" s="595"/>
      <c r="M122" s="226"/>
      <c r="N122" s="128"/>
      <c r="O122" s="126"/>
      <c r="P122" s="133"/>
      <c r="Q122" s="595"/>
      <c r="R122" s="226"/>
      <c r="S122" s="128"/>
      <c r="T122" s="126"/>
      <c r="U122" s="133"/>
      <c r="V122" s="598"/>
      <c r="W122" s="226"/>
      <c r="X122" s="128"/>
      <c r="Y122" s="126"/>
      <c r="Z122" s="133"/>
      <c r="AA122" s="647"/>
      <c r="AB122" s="226"/>
      <c r="AC122" s="128"/>
      <c r="AD122" s="126"/>
      <c r="AE122" s="133"/>
      <c r="AF122" s="617"/>
      <c r="AG122" s="95"/>
      <c r="AH122" s="95"/>
      <c r="AI122" s="57"/>
      <c r="AJ122" s="104"/>
      <c r="AK122" s="91"/>
      <c r="AL122"/>
      <c r="AM122"/>
      <c r="AN122"/>
      <c r="AO122"/>
      <c r="AP122"/>
      <c r="AQ122"/>
      <c r="AR122"/>
      <c r="AS122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1:86" s="1" customFormat="1" ht="18" hidden="1" customHeight="1">
      <c r="A123" s="593"/>
      <c r="B123" s="645"/>
      <c r="C123" s="201"/>
      <c r="D123" s="202"/>
      <c r="E123" s="203"/>
      <c r="F123" s="204"/>
      <c r="G123" s="599"/>
      <c r="H123" s="130"/>
      <c r="I123" s="132"/>
      <c r="J123" s="131"/>
      <c r="K123" s="134"/>
      <c r="L123" s="596"/>
      <c r="M123" s="130"/>
      <c r="N123" s="132"/>
      <c r="O123" s="131"/>
      <c r="P123" s="134"/>
      <c r="Q123" s="596"/>
      <c r="R123" s="130"/>
      <c r="S123" s="132"/>
      <c r="T123" s="131"/>
      <c r="U123" s="134"/>
      <c r="V123" s="599"/>
      <c r="W123" s="130"/>
      <c r="X123" s="132"/>
      <c r="Y123" s="131"/>
      <c r="Z123" s="134"/>
      <c r="AA123" s="648"/>
      <c r="AB123" s="130"/>
      <c r="AC123" s="132"/>
      <c r="AD123" s="131"/>
      <c r="AE123" s="134"/>
      <c r="AF123" s="618"/>
      <c r="AG123" s="95"/>
      <c r="AH123" s="95"/>
      <c r="AI123" s="57"/>
      <c r="AJ123" s="106"/>
      <c r="AK123" s="91"/>
      <c r="AL123"/>
      <c r="AM123"/>
      <c r="AN123"/>
      <c r="AO123"/>
      <c r="AP123"/>
      <c r="AQ123"/>
      <c r="AR123"/>
      <c r="AS123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1:86" s="1" customFormat="1" ht="18" hidden="1" customHeight="1">
      <c r="A124" s="592" t="s">
        <v>54</v>
      </c>
      <c r="B124" s="643"/>
      <c r="C124" s="187"/>
      <c r="D124" s="188"/>
      <c r="E124" s="189"/>
      <c r="F124" s="190"/>
      <c r="G124" s="529"/>
      <c r="H124" s="95"/>
      <c r="I124" s="13"/>
      <c r="J124" s="57"/>
      <c r="K124" s="105"/>
      <c r="L124" s="529"/>
      <c r="M124" s="95"/>
      <c r="N124" s="13"/>
      <c r="O124" s="57"/>
      <c r="P124" s="104"/>
      <c r="Q124" s="529"/>
      <c r="R124" s="95"/>
      <c r="S124" s="95"/>
      <c r="T124" s="57"/>
      <c r="U124" s="105"/>
      <c r="V124" s="529"/>
      <c r="W124" s="95"/>
      <c r="X124" s="13"/>
      <c r="Y124" s="57"/>
      <c r="Z124" s="105"/>
      <c r="AA124" s="529"/>
      <c r="AB124" s="208"/>
      <c r="AC124" s="13"/>
      <c r="AD124" s="57"/>
      <c r="AE124" s="105"/>
      <c r="AF124" s="643"/>
      <c r="AG124" s="191"/>
      <c r="AH124" s="192"/>
      <c r="AI124" s="193"/>
      <c r="AJ124" s="190"/>
      <c r="AK124" s="91"/>
      <c r="AL124"/>
      <c r="AM124"/>
      <c r="AN124"/>
      <c r="AO124"/>
      <c r="AP124"/>
      <c r="AQ1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1:86" s="1" customFormat="1" ht="18" hidden="1" customHeight="1">
      <c r="A125" s="515"/>
      <c r="B125" s="644"/>
      <c r="C125" s="194"/>
      <c r="D125" s="195"/>
      <c r="E125" s="196"/>
      <c r="F125" s="197"/>
      <c r="G125" s="529"/>
      <c r="H125" s="95"/>
      <c r="I125" s="13"/>
      <c r="J125" s="57"/>
      <c r="K125" s="105"/>
      <c r="L125" s="529"/>
      <c r="M125" s="95"/>
      <c r="N125" s="13"/>
      <c r="O125" s="57"/>
      <c r="P125" s="104"/>
      <c r="Q125" s="529"/>
      <c r="R125" s="95"/>
      <c r="S125" s="95"/>
      <c r="T125" s="57"/>
      <c r="U125" s="105"/>
      <c r="V125" s="529"/>
      <c r="W125" s="95"/>
      <c r="X125" s="13"/>
      <c r="Y125" s="57"/>
      <c r="Z125" s="105"/>
      <c r="AA125" s="529"/>
      <c r="AB125" s="208"/>
      <c r="AC125" s="13"/>
      <c r="AD125" s="57"/>
      <c r="AE125" s="105"/>
      <c r="AF125" s="644"/>
      <c r="AG125" s="198"/>
      <c r="AH125" s="199"/>
      <c r="AI125" s="200"/>
      <c r="AJ125" s="197"/>
      <c r="AK125" s="91"/>
      <c r="AL125"/>
      <c r="AM125"/>
      <c r="AN125"/>
      <c r="AO125"/>
      <c r="AP125"/>
      <c r="AQ125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1:86" s="1" customFormat="1" ht="18" hidden="1" customHeight="1">
      <c r="A126" s="515"/>
      <c r="B126" s="644"/>
      <c r="C126" s="194"/>
      <c r="D126" s="195"/>
      <c r="E126" s="196"/>
      <c r="F126" s="197"/>
      <c r="G126" s="529"/>
      <c r="H126" s="95"/>
      <c r="I126" s="13"/>
      <c r="J126" s="57"/>
      <c r="K126" s="105"/>
      <c r="L126" s="529"/>
      <c r="M126" s="95"/>
      <c r="N126" s="13"/>
      <c r="O126" s="57"/>
      <c r="P126" s="104"/>
      <c r="Q126" s="529"/>
      <c r="R126" s="95"/>
      <c r="S126" s="95"/>
      <c r="T126" s="57"/>
      <c r="U126" s="105"/>
      <c r="V126" s="529"/>
      <c r="W126" s="95"/>
      <c r="X126" s="13"/>
      <c r="Y126" s="57"/>
      <c r="Z126" s="105"/>
      <c r="AA126" s="529"/>
      <c r="AB126" s="208"/>
      <c r="AC126" s="13"/>
      <c r="AD126" s="57"/>
      <c r="AE126" s="105"/>
      <c r="AF126" s="644"/>
      <c r="AG126" s="198"/>
      <c r="AH126" s="199"/>
      <c r="AI126" s="200"/>
      <c r="AJ126" s="197"/>
      <c r="AK126" s="91"/>
      <c r="AL126"/>
      <c r="AM126"/>
      <c r="AN126"/>
      <c r="AO126"/>
      <c r="AP126"/>
      <c r="AQ126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1:86" s="1" customFormat="1" ht="18" hidden="1" customHeight="1">
      <c r="A127" s="515"/>
      <c r="B127" s="644"/>
      <c r="C127" s="194"/>
      <c r="D127" s="195"/>
      <c r="E127" s="196"/>
      <c r="F127" s="197"/>
      <c r="G127" s="529"/>
      <c r="H127" s="95"/>
      <c r="I127" s="13"/>
      <c r="J127" s="57"/>
      <c r="K127" s="105"/>
      <c r="L127" s="529"/>
      <c r="M127" s="95"/>
      <c r="N127" s="13"/>
      <c r="O127" s="57"/>
      <c r="P127" s="104"/>
      <c r="Q127" s="529"/>
      <c r="R127" s="95"/>
      <c r="S127" s="95"/>
      <c r="T127" s="57"/>
      <c r="U127" s="105"/>
      <c r="V127" s="529"/>
      <c r="W127" s="95"/>
      <c r="X127" s="13"/>
      <c r="Y127" s="57"/>
      <c r="Z127" s="105"/>
      <c r="AA127" s="529"/>
      <c r="AB127" s="208"/>
      <c r="AC127" s="13"/>
      <c r="AD127" s="57"/>
      <c r="AE127" s="105"/>
      <c r="AF127" s="644"/>
      <c r="AG127" s="198"/>
      <c r="AH127" s="199"/>
      <c r="AI127" s="200"/>
      <c r="AJ127" s="197"/>
      <c r="AK127" s="91"/>
      <c r="AL127"/>
      <c r="AM127"/>
      <c r="AN127"/>
      <c r="AO127"/>
      <c r="AP127"/>
      <c r="AQ127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1:86" s="1" customFormat="1" ht="18" hidden="1" customHeight="1">
      <c r="A128" s="515"/>
      <c r="B128" s="644"/>
      <c r="C128" s="194"/>
      <c r="D128" s="195"/>
      <c r="E128" s="196"/>
      <c r="F128" s="197"/>
      <c r="G128" s="529"/>
      <c r="H128" s="95"/>
      <c r="I128" s="13"/>
      <c r="J128" s="57"/>
      <c r="K128" s="105"/>
      <c r="L128" s="529"/>
      <c r="M128" s="95"/>
      <c r="N128" s="13"/>
      <c r="O128" s="57"/>
      <c r="P128" s="104"/>
      <c r="Q128" s="529"/>
      <c r="R128" s="95"/>
      <c r="S128" s="95"/>
      <c r="T128" s="57"/>
      <c r="U128" s="105"/>
      <c r="V128" s="529"/>
      <c r="W128" s="95"/>
      <c r="X128" s="13"/>
      <c r="Y128" s="57"/>
      <c r="Z128" s="105"/>
      <c r="AA128" s="529"/>
      <c r="AB128" s="208"/>
      <c r="AC128" s="13"/>
      <c r="AD128" s="57"/>
      <c r="AE128" s="105"/>
      <c r="AF128" s="644"/>
      <c r="AG128" s="198"/>
      <c r="AH128" s="199"/>
      <c r="AI128" s="200"/>
      <c r="AJ128" s="197"/>
      <c r="AK128" s="91"/>
      <c r="AL128"/>
      <c r="AM128"/>
      <c r="AN128"/>
      <c r="AO128"/>
      <c r="AP128"/>
      <c r="AQ128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1:86" s="1" customFormat="1" ht="18" hidden="1" customHeight="1">
      <c r="A129" s="515"/>
      <c r="B129" s="644"/>
      <c r="C129" s="194"/>
      <c r="D129" s="195"/>
      <c r="E129" s="196"/>
      <c r="F129" s="197"/>
      <c r="G129" s="529"/>
      <c r="H129" s="95"/>
      <c r="I129" s="13"/>
      <c r="J129" s="57"/>
      <c r="K129" s="105"/>
      <c r="L129" s="529"/>
      <c r="M129" s="95"/>
      <c r="N129" s="13"/>
      <c r="O129" s="57"/>
      <c r="P129" s="104"/>
      <c r="Q129" s="529"/>
      <c r="R129" s="95"/>
      <c r="S129" s="95"/>
      <c r="T129" s="57"/>
      <c r="U129" s="105"/>
      <c r="V129" s="529"/>
      <c r="W129" s="95"/>
      <c r="X129" s="13"/>
      <c r="Y129" s="57"/>
      <c r="Z129" s="105"/>
      <c r="AA129" s="529"/>
      <c r="AB129" s="208"/>
      <c r="AC129" s="13"/>
      <c r="AD129" s="57"/>
      <c r="AE129" s="105"/>
      <c r="AF129" s="644"/>
      <c r="AG129" s="198"/>
      <c r="AH129" s="199"/>
      <c r="AI129" s="200"/>
      <c r="AJ129" s="197"/>
      <c r="AK129" s="91"/>
      <c r="AL129"/>
      <c r="AM129"/>
      <c r="AN129"/>
      <c r="AO129"/>
      <c r="AP129"/>
      <c r="AQ129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1:86" s="1" customFormat="1" ht="18" hidden="1" customHeight="1">
      <c r="A130" s="515"/>
      <c r="B130" s="644"/>
      <c r="C130" s="194"/>
      <c r="D130" s="195"/>
      <c r="E130" s="196"/>
      <c r="F130" s="197"/>
      <c r="G130" s="529"/>
      <c r="H130" s="95"/>
      <c r="I130" s="13"/>
      <c r="J130" s="57"/>
      <c r="K130" s="105"/>
      <c r="L130" s="529"/>
      <c r="M130" s="95"/>
      <c r="N130" s="13"/>
      <c r="O130" s="57"/>
      <c r="P130" s="104"/>
      <c r="Q130" s="529"/>
      <c r="R130" s="95"/>
      <c r="S130" s="95"/>
      <c r="T130" s="57"/>
      <c r="U130" s="105"/>
      <c r="V130" s="529"/>
      <c r="W130" s="95"/>
      <c r="X130" s="13"/>
      <c r="Y130" s="57"/>
      <c r="Z130" s="105"/>
      <c r="AA130" s="529"/>
      <c r="AB130" s="208"/>
      <c r="AC130" s="13"/>
      <c r="AD130" s="57"/>
      <c r="AE130" s="105"/>
      <c r="AF130" s="644"/>
      <c r="AG130" s="198"/>
      <c r="AH130" s="199"/>
      <c r="AI130" s="200"/>
      <c r="AJ130" s="197"/>
      <c r="AK130" s="91"/>
      <c r="AL130"/>
      <c r="AM130"/>
      <c r="AN130"/>
      <c r="AO130"/>
      <c r="AP130"/>
      <c r="AQ130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1:86" s="1" customFormat="1" ht="18" hidden="1" customHeight="1">
      <c r="A131" s="515"/>
      <c r="B131" s="644"/>
      <c r="C131" s="194"/>
      <c r="D131" s="195"/>
      <c r="E131" s="196"/>
      <c r="F131" s="197"/>
      <c r="G131" s="529"/>
      <c r="H131" s="95"/>
      <c r="I131" s="13"/>
      <c r="J131" s="57"/>
      <c r="K131" s="105"/>
      <c r="L131" s="529"/>
      <c r="M131" s="95"/>
      <c r="N131" s="13"/>
      <c r="O131" s="57"/>
      <c r="P131" s="104"/>
      <c r="Q131" s="529"/>
      <c r="R131" s="95"/>
      <c r="S131" s="95"/>
      <c r="T131" s="57"/>
      <c r="U131" s="105"/>
      <c r="V131" s="529"/>
      <c r="W131" s="95"/>
      <c r="X131" s="13"/>
      <c r="Y131" s="57"/>
      <c r="Z131" s="105"/>
      <c r="AA131" s="529"/>
      <c r="AB131" s="208"/>
      <c r="AC131" s="13"/>
      <c r="AD131" s="57"/>
      <c r="AE131" s="105"/>
      <c r="AF131" s="644"/>
      <c r="AG131" s="198"/>
      <c r="AH131" s="199"/>
      <c r="AI131" s="200"/>
      <c r="AJ131" s="197"/>
      <c r="AK131" s="91"/>
      <c r="AL131"/>
      <c r="AM131"/>
      <c r="AN131"/>
      <c r="AO131"/>
      <c r="AP131"/>
      <c r="AQ131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1:86" s="1" customFormat="1" ht="18" hidden="1" customHeight="1">
      <c r="A132" s="515"/>
      <c r="B132" s="644"/>
      <c r="C132" s="194"/>
      <c r="D132" s="195"/>
      <c r="E132" s="196"/>
      <c r="F132" s="197"/>
      <c r="G132" s="529"/>
      <c r="H132" s="95"/>
      <c r="I132" s="13"/>
      <c r="J132" s="57"/>
      <c r="K132" s="105"/>
      <c r="L132" s="529"/>
      <c r="M132" s="95"/>
      <c r="N132" s="13"/>
      <c r="O132" s="57"/>
      <c r="P132" s="104"/>
      <c r="Q132" s="529"/>
      <c r="R132" s="95"/>
      <c r="S132" s="95"/>
      <c r="T132" s="57"/>
      <c r="U132" s="105"/>
      <c r="V132" s="529"/>
      <c r="W132" s="95"/>
      <c r="X132" s="13"/>
      <c r="Y132" s="57"/>
      <c r="Z132" s="105"/>
      <c r="AA132" s="529"/>
      <c r="AB132" s="208"/>
      <c r="AC132" s="13"/>
      <c r="AD132" s="57"/>
      <c r="AE132" s="105"/>
      <c r="AF132" s="644"/>
      <c r="AG132" s="198"/>
      <c r="AH132" s="199"/>
      <c r="AI132" s="200"/>
      <c r="AJ132" s="197"/>
      <c r="AK132" s="91"/>
      <c r="AL132"/>
      <c r="AM132"/>
      <c r="AN132"/>
      <c r="AO132"/>
      <c r="AP132"/>
      <c r="AQ132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1:86" s="1" customFormat="1" ht="18" hidden="1" customHeight="1">
      <c r="A133" s="515"/>
      <c r="B133" s="644"/>
      <c r="C133" s="194"/>
      <c r="D133" s="195"/>
      <c r="E133" s="196"/>
      <c r="F133" s="197"/>
      <c r="G133" s="529"/>
      <c r="H133" s="95"/>
      <c r="I133" s="13"/>
      <c r="J133" s="57"/>
      <c r="K133" s="105"/>
      <c r="L133" s="529"/>
      <c r="M133" s="95"/>
      <c r="N133" s="13"/>
      <c r="O133" s="57"/>
      <c r="P133" s="104"/>
      <c r="Q133" s="529"/>
      <c r="R133" s="95"/>
      <c r="S133" s="95"/>
      <c r="T133" s="57"/>
      <c r="U133" s="105"/>
      <c r="V133" s="529"/>
      <c r="W133" s="95"/>
      <c r="X133" s="13"/>
      <c r="Y133" s="57"/>
      <c r="Z133" s="105"/>
      <c r="AA133" s="529"/>
      <c r="AB133" s="208"/>
      <c r="AC133" s="13"/>
      <c r="AD133" s="57"/>
      <c r="AE133" s="105"/>
      <c r="AF133" s="644"/>
      <c r="AG133" s="198"/>
      <c r="AH133" s="199"/>
      <c r="AI133" s="200"/>
      <c r="AJ133" s="197"/>
      <c r="AK133" s="91"/>
      <c r="AL133"/>
      <c r="AM133"/>
      <c r="AN133"/>
      <c r="AO133"/>
      <c r="AP133"/>
      <c r="AQ133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1:86" s="1" customFormat="1" ht="18" hidden="1" customHeight="1">
      <c r="A134" s="515"/>
      <c r="B134" s="644"/>
      <c r="C134" s="194"/>
      <c r="D134" s="195"/>
      <c r="E134" s="196"/>
      <c r="F134" s="197"/>
      <c r="G134" s="529"/>
      <c r="H134" s="95"/>
      <c r="I134" s="13"/>
      <c r="J134" s="57"/>
      <c r="K134" s="105"/>
      <c r="L134" s="529"/>
      <c r="M134" s="95"/>
      <c r="N134" s="13"/>
      <c r="O134" s="57"/>
      <c r="P134" s="104"/>
      <c r="Q134" s="529"/>
      <c r="R134" s="95"/>
      <c r="S134" s="95"/>
      <c r="T134" s="57"/>
      <c r="U134" s="105"/>
      <c r="V134" s="529"/>
      <c r="W134" s="95"/>
      <c r="X134" s="13"/>
      <c r="Y134" s="57"/>
      <c r="Z134" s="105"/>
      <c r="AA134" s="529"/>
      <c r="AB134" s="208"/>
      <c r="AC134" s="13"/>
      <c r="AD134" s="57"/>
      <c r="AE134" s="105"/>
      <c r="AF134" s="644"/>
      <c r="AG134" s="198"/>
      <c r="AH134" s="199"/>
      <c r="AI134" s="200"/>
      <c r="AJ134" s="197"/>
      <c r="AK134" s="91"/>
      <c r="AL134"/>
      <c r="AM134"/>
      <c r="AN134"/>
      <c r="AO134"/>
      <c r="AP134"/>
      <c r="AQ13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1:86" s="1" customFormat="1" ht="18" hidden="1" customHeight="1">
      <c r="A135" s="515"/>
      <c r="B135" s="644"/>
      <c r="C135" s="194"/>
      <c r="D135" s="195"/>
      <c r="E135" s="196"/>
      <c r="F135" s="197"/>
      <c r="G135" s="529"/>
      <c r="H135" s="95"/>
      <c r="I135" s="13"/>
      <c r="J135" s="57"/>
      <c r="K135" s="105"/>
      <c r="L135" s="529"/>
      <c r="M135" s="95"/>
      <c r="N135" s="13"/>
      <c r="O135" s="57"/>
      <c r="P135" s="104"/>
      <c r="Q135" s="529"/>
      <c r="R135" s="95"/>
      <c r="S135" s="95"/>
      <c r="T135" s="57"/>
      <c r="U135" s="105"/>
      <c r="V135" s="529"/>
      <c r="W135" s="95"/>
      <c r="X135" s="13"/>
      <c r="Y135" s="57"/>
      <c r="Z135" s="105"/>
      <c r="AA135" s="529"/>
      <c r="AB135" s="208"/>
      <c r="AC135" s="13"/>
      <c r="AD135" s="57"/>
      <c r="AE135" s="105"/>
      <c r="AF135" s="644"/>
      <c r="AG135" s="198"/>
      <c r="AH135" s="199"/>
      <c r="AI135" s="200"/>
      <c r="AJ135" s="197"/>
      <c r="AK135" s="91"/>
      <c r="AL135"/>
      <c r="AM135"/>
      <c r="AN135"/>
      <c r="AO135"/>
      <c r="AP135"/>
      <c r="AQ135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1:86" s="1" customFormat="1" ht="18" hidden="1" customHeight="1">
      <c r="A136" s="515"/>
      <c r="B136" s="644"/>
      <c r="C136" s="194"/>
      <c r="D136" s="195"/>
      <c r="E136" s="196"/>
      <c r="F136" s="197"/>
      <c r="G136" s="529"/>
      <c r="H136" s="95"/>
      <c r="I136" s="13"/>
      <c r="J136" s="57"/>
      <c r="K136" s="105"/>
      <c r="L136" s="529"/>
      <c r="M136" s="95"/>
      <c r="N136" s="13"/>
      <c r="O136" s="57"/>
      <c r="P136" s="104"/>
      <c r="Q136" s="529"/>
      <c r="R136" s="95"/>
      <c r="S136" s="95"/>
      <c r="T136" s="57"/>
      <c r="U136" s="105"/>
      <c r="V136" s="529"/>
      <c r="W136" s="95"/>
      <c r="X136" s="13"/>
      <c r="Y136" s="57"/>
      <c r="Z136" s="105"/>
      <c r="AA136" s="529"/>
      <c r="AB136" s="208"/>
      <c r="AC136" s="13"/>
      <c r="AD136" s="57"/>
      <c r="AE136" s="105"/>
      <c r="AF136" s="644"/>
      <c r="AG136" s="198"/>
      <c r="AH136" s="199"/>
      <c r="AI136" s="200"/>
      <c r="AJ136" s="197"/>
      <c r="AK136" s="91"/>
      <c r="AL136"/>
      <c r="AM136"/>
      <c r="AN136"/>
      <c r="AO136"/>
      <c r="AP136"/>
      <c r="AQ136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1:86" s="1" customFormat="1" ht="18" hidden="1" customHeight="1">
      <c r="A137" s="515"/>
      <c r="B137" s="644"/>
      <c r="C137" s="194"/>
      <c r="D137" s="195"/>
      <c r="E137" s="196"/>
      <c r="F137" s="197"/>
      <c r="G137" s="529"/>
      <c r="H137" s="95"/>
      <c r="I137" s="13"/>
      <c r="J137" s="57"/>
      <c r="K137" s="105"/>
      <c r="L137" s="529"/>
      <c r="M137" s="95"/>
      <c r="N137" s="13"/>
      <c r="O137" s="57"/>
      <c r="P137" s="104"/>
      <c r="Q137" s="529"/>
      <c r="R137" s="95"/>
      <c r="S137" s="95"/>
      <c r="T137" s="57"/>
      <c r="U137" s="105"/>
      <c r="V137" s="529"/>
      <c r="W137" s="95"/>
      <c r="X137" s="13"/>
      <c r="Y137" s="57"/>
      <c r="Z137" s="105"/>
      <c r="AA137" s="529"/>
      <c r="AB137" s="208"/>
      <c r="AC137" s="13"/>
      <c r="AD137" s="57"/>
      <c r="AE137" s="105"/>
      <c r="AF137" s="644"/>
      <c r="AG137" s="198"/>
      <c r="AH137" s="199"/>
      <c r="AI137" s="200"/>
      <c r="AJ137" s="197"/>
      <c r="AK137" s="91"/>
      <c r="AL137"/>
      <c r="AM137"/>
      <c r="AN137"/>
      <c r="AO137"/>
      <c r="AP137"/>
      <c r="AQ137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1:86" s="1" customFormat="1" ht="18" hidden="1" customHeight="1">
      <c r="A138" s="593"/>
      <c r="B138" s="645"/>
      <c r="C138" s="201"/>
      <c r="D138" s="202"/>
      <c r="E138" s="203"/>
      <c r="F138" s="204"/>
      <c r="G138" s="530"/>
      <c r="H138" s="95"/>
      <c r="I138" s="13"/>
      <c r="J138" s="57"/>
      <c r="K138" s="107"/>
      <c r="L138" s="530"/>
      <c r="M138" s="95"/>
      <c r="N138" s="13"/>
      <c r="O138" s="57"/>
      <c r="P138" s="106"/>
      <c r="Q138" s="530"/>
      <c r="R138" s="95"/>
      <c r="S138" s="95"/>
      <c r="T138" s="57"/>
      <c r="U138" s="107"/>
      <c r="V138" s="530"/>
      <c r="W138" s="95"/>
      <c r="X138" s="13"/>
      <c r="Y138" s="57"/>
      <c r="Z138" s="107"/>
      <c r="AA138" s="530"/>
      <c r="AB138" s="208"/>
      <c r="AC138" s="13"/>
      <c r="AD138" s="57"/>
      <c r="AE138" s="107"/>
      <c r="AF138" s="645"/>
      <c r="AG138" s="205"/>
      <c r="AH138" s="206"/>
      <c r="AI138" s="207"/>
      <c r="AJ138" s="204"/>
      <c r="AK138" s="91"/>
      <c r="AL138"/>
      <c r="AM138"/>
      <c r="AN138"/>
      <c r="AO138"/>
      <c r="AP138"/>
      <c r="AQ138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1:86" s="1" customFormat="1" ht="18" hidden="1" customHeight="1">
      <c r="A139" s="592" t="s">
        <v>55</v>
      </c>
      <c r="B139" s="643"/>
      <c r="C139" s="187"/>
      <c r="D139" s="188"/>
      <c r="E139" s="189"/>
      <c r="F139" s="190"/>
      <c r="G139" s="528"/>
      <c r="H139" s="95"/>
      <c r="I139" s="13"/>
      <c r="J139" s="57"/>
      <c r="K139" s="108"/>
      <c r="L139" s="528"/>
      <c r="M139" s="95"/>
      <c r="N139" s="13"/>
      <c r="O139" s="57"/>
      <c r="P139" s="110"/>
      <c r="Q139" s="528"/>
      <c r="R139" s="95"/>
      <c r="S139" s="95"/>
      <c r="T139" s="57"/>
      <c r="U139" s="108"/>
      <c r="V139" s="528"/>
      <c r="W139" s="95"/>
      <c r="X139" s="13"/>
      <c r="Y139" s="57"/>
      <c r="Z139" s="108"/>
      <c r="AA139" s="528"/>
      <c r="AB139" s="208"/>
      <c r="AC139" s="13"/>
      <c r="AD139" s="57"/>
      <c r="AE139" s="108"/>
      <c r="AF139" s="643"/>
      <c r="AG139" s="191"/>
      <c r="AH139" s="192"/>
      <c r="AI139" s="193"/>
      <c r="AJ139" s="190"/>
      <c r="AK139" s="91"/>
      <c r="AL139"/>
      <c r="AM139"/>
      <c r="AN139"/>
      <c r="AO139"/>
      <c r="AP139"/>
      <c r="AQ139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1:86" s="1" customFormat="1" ht="18" hidden="1" customHeight="1">
      <c r="A140" s="515"/>
      <c r="B140" s="644"/>
      <c r="C140" s="194"/>
      <c r="D140" s="195"/>
      <c r="E140" s="196"/>
      <c r="F140" s="197"/>
      <c r="G140" s="529"/>
      <c r="H140" s="95"/>
      <c r="I140" s="13"/>
      <c r="J140" s="57"/>
      <c r="K140" s="105"/>
      <c r="L140" s="529"/>
      <c r="M140" s="95"/>
      <c r="N140" s="13"/>
      <c r="O140" s="57"/>
      <c r="P140" s="104"/>
      <c r="Q140" s="529"/>
      <c r="R140" s="95"/>
      <c r="S140" s="95"/>
      <c r="T140" s="57"/>
      <c r="U140" s="105"/>
      <c r="V140" s="529"/>
      <c r="W140" s="95"/>
      <c r="X140" s="13"/>
      <c r="Y140" s="57"/>
      <c r="Z140" s="105"/>
      <c r="AA140" s="529"/>
      <c r="AB140" s="208"/>
      <c r="AC140" s="13"/>
      <c r="AD140" s="57"/>
      <c r="AE140" s="105"/>
      <c r="AF140" s="644"/>
      <c r="AG140" s="198"/>
      <c r="AH140" s="199"/>
      <c r="AI140" s="200"/>
      <c r="AJ140" s="197"/>
      <c r="AK140" s="91"/>
      <c r="AL140"/>
      <c r="AM140"/>
      <c r="AN140"/>
      <c r="AO140"/>
      <c r="AP140"/>
      <c r="AQ140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1:86" s="1" customFormat="1" ht="18" hidden="1" customHeight="1">
      <c r="A141" s="515"/>
      <c r="B141" s="644"/>
      <c r="C141" s="194"/>
      <c r="D141" s="195"/>
      <c r="E141" s="196"/>
      <c r="F141" s="197"/>
      <c r="G141" s="529"/>
      <c r="H141" s="95"/>
      <c r="I141" s="13"/>
      <c r="J141" s="57"/>
      <c r="K141" s="105"/>
      <c r="L141" s="529"/>
      <c r="M141" s="95"/>
      <c r="N141" s="13"/>
      <c r="O141" s="57"/>
      <c r="P141" s="104"/>
      <c r="Q141" s="529"/>
      <c r="R141" s="95"/>
      <c r="S141" s="95"/>
      <c r="T141" s="57"/>
      <c r="U141" s="105"/>
      <c r="V141" s="529"/>
      <c r="W141" s="95"/>
      <c r="X141" s="13"/>
      <c r="Y141" s="57"/>
      <c r="Z141" s="105"/>
      <c r="AA141" s="529"/>
      <c r="AB141" s="208"/>
      <c r="AC141" s="13"/>
      <c r="AD141" s="57"/>
      <c r="AE141" s="105"/>
      <c r="AF141" s="644"/>
      <c r="AG141" s="198"/>
      <c r="AH141" s="199"/>
      <c r="AI141" s="200"/>
      <c r="AJ141" s="197"/>
      <c r="AK141" s="91"/>
      <c r="AL141"/>
      <c r="AM141"/>
      <c r="AN141"/>
      <c r="AO141"/>
      <c r="AP141"/>
      <c r="AQ141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1:86" s="1" customFormat="1" ht="18" hidden="1" customHeight="1">
      <c r="A142" s="515"/>
      <c r="B142" s="644"/>
      <c r="C142" s="194"/>
      <c r="D142" s="195"/>
      <c r="E142" s="196"/>
      <c r="F142" s="197"/>
      <c r="G142" s="529"/>
      <c r="H142" s="95"/>
      <c r="I142" s="13"/>
      <c r="J142" s="57"/>
      <c r="K142" s="105"/>
      <c r="L142" s="529"/>
      <c r="M142" s="95"/>
      <c r="N142" s="13"/>
      <c r="O142" s="57"/>
      <c r="P142" s="104"/>
      <c r="Q142" s="529"/>
      <c r="R142" s="95"/>
      <c r="S142" s="95"/>
      <c r="T142" s="57"/>
      <c r="U142" s="105"/>
      <c r="V142" s="529"/>
      <c r="W142" s="95"/>
      <c r="X142" s="13"/>
      <c r="Y142" s="57"/>
      <c r="Z142" s="105"/>
      <c r="AA142" s="529"/>
      <c r="AB142" s="208"/>
      <c r="AC142" s="13"/>
      <c r="AD142" s="57"/>
      <c r="AE142" s="105"/>
      <c r="AF142" s="644"/>
      <c r="AG142" s="198"/>
      <c r="AH142" s="199"/>
      <c r="AI142" s="200"/>
      <c r="AJ142" s="197"/>
      <c r="AK142" s="91"/>
      <c r="AL142"/>
      <c r="AM142"/>
      <c r="AN142"/>
      <c r="AO142"/>
      <c r="AP142"/>
      <c r="AQ142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1:86" s="1" customFormat="1" ht="18" hidden="1" customHeight="1">
      <c r="A143" s="515"/>
      <c r="B143" s="644"/>
      <c r="C143" s="194"/>
      <c r="D143" s="195"/>
      <c r="E143" s="196"/>
      <c r="F143" s="197"/>
      <c r="G143" s="529"/>
      <c r="H143" s="95"/>
      <c r="I143" s="13"/>
      <c r="J143" s="57"/>
      <c r="K143" s="105"/>
      <c r="L143" s="529"/>
      <c r="M143" s="95"/>
      <c r="N143" s="13"/>
      <c r="O143" s="57"/>
      <c r="P143" s="104"/>
      <c r="Q143" s="529"/>
      <c r="R143" s="95"/>
      <c r="S143" s="95"/>
      <c r="T143" s="57"/>
      <c r="U143" s="105"/>
      <c r="V143" s="529"/>
      <c r="W143" s="95"/>
      <c r="X143" s="13"/>
      <c r="Y143" s="57"/>
      <c r="Z143" s="105"/>
      <c r="AA143" s="529"/>
      <c r="AB143" s="208"/>
      <c r="AC143" s="13"/>
      <c r="AD143" s="57"/>
      <c r="AE143" s="105"/>
      <c r="AF143" s="644"/>
      <c r="AG143" s="198"/>
      <c r="AH143" s="199"/>
      <c r="AI143" s="200"/>
      <c r="AJ143" s="197"/>
      <c r="AK143" s="91"/>
      <c r="AL143"/>
      <c r="AM143"/>
      <c r="AN143"/>
      <c r="AO143"/>
      <c r="AP143"/>
      <c r="AQ143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1:86" s="1" customFormat="1" ht="18" hidden="1" customHeight="1">
      <c r="A144" s="515"/>
      <c r="B144" s="644"/>
      <c r="C144" s="194"/>
      <c r="D144" s="195"/>
      <c r="E144" s="196"/>
      <c r="F144" s="197"/>
      <c r="G144" s="529"/>
      <c r="H144" s="95"/>
      <c r="I144" s="13"/>
      <c r="J144" s="57"/>
      <c r="K144" s="105"/>
      <c r="L144" s="529"/>
      <c r="M144" s="95"/>
      <c r="N144" s="13"/>
      <c r="O144" s="57"/>
      <c r="P144" s="104"/>
      <c r="Q144" s="529"/>
      <c r="R144" s="95"/>
      <c r="S144" s="95"/>
      <c r="T144" s="57"/>
      <c r="U144" s="105"/>
      <c r="V144" s="529"/>
      <c r="W144" s="95"/>
      <c r="X144" s="13"/>
      <c r="Y144" s="57"/>
      <c r="Z144" s="105"/>
      <c r="AA144" s="529"/>
      <c r="AB144" s="208"/>
      <c r="AC144" s="13"/>
      <c r="AD144" s="57"/>
      <c r="AE144" s="105"/>
      <c r="AF144" s="644"/>
      <c r="AG144" s="198"/>
      <c r="AH144" s="199"/>
      <c r="AI144" s="200"/>
      <c r="AJ144" s="197"/>
      <c r="AK144" s="91"/>
      <c r="AL144"/>
      <c r="AM144"/>
      <c r="AN144"/>
      <c r="AO144"/>
      <c r="AP144"/>
      <c r="AQ14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1:86" s="1" customFormat="1" ht="18" hidden="1" customHeight="1">
      <c r="A145" s="515"/>
      <c r="B145" s="644"/>
      <c r="C145" s="194"/>
      <c r="D145" s="195"/>
      <c r="E145" s="196"/>
      <c r="F145" s="197"/>
      <c r="G145" s="529"/>
      <c r="H145" s="95"/>
      <c r="I145" s="13"/>
      <c r="J145" s="57"/>
      <c r="K145" s="105"/>
      <c r="L145" s="529"/>
      <c r="M145" s="95"/>
      <c r="N145" s="13"/>
      <c r="O145" s="57"/>
      <c r="P145" s="104"/>
      <c r="Q145" s="529"/>
      <c r="R145" s="95"/>
      <c r="S145" s="95"/>
      <c r="T145" s="57"/>
      <c r="U145" s="105"/>
      <c r="V145" s="529"/>
      <c r="W145" s="95"/>
      <c r="X145" s="13"/>
      <c r="Y145" s="57"/>
      <c r="Z145" s="105"/>
      <c r="AA145" s="529"/>
      <c r="AB145" s="208"/>
      <c r="AC145" s="13"/>
      <c r="AD145" s="57"/>
      <c r="AE145" s="105"/>
      <c r="AF145" s="644"/>
      <c r="AG145" s="198"/>
      <c r="AH145" s="199"/>
      <c r="AI145" s="200"/>
      <c r="AJ145" s="197"/>
      <c r="AK145" s="91"/>
      <c r="AL145"/>
      <c r="AM145"/>
      <c r="AN145"/>
      <c r="AO145"/>
      <c r="AP145"/>
      <c r="AQ145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1:86" s="1" customFormat="1" ht="18" hidden="1" customHeight="1">
      <c r="A146" s="515"/>
      <c r="B146" s="644"/>
      <c r="C146" s="194"/>
      <c r="D146" s="195"/>
      <c r="E146" s="196"/>
      <c r="F146" s="197"/>
      <c r="G146" s="529"/>
      <c r="H146" s="95"/>
      <c r="I146" s="13"/>
      <c r="J146" s="57"/>
      <c r="K146" s="105"/>
      <c r="L146" s="529"/>
      <c r="M146" s="95"/>
      <c r="N146" s="13"/>
      <c r="O146" s="57"/>
      <c r="P146" s="104"/>
      <c r="Q146" s="529"/>
      <c r="R146" s="95"/>
      <c r="S146" s="95"/>
      <c r="T146" s="57"/>
      <c r="U146" s="105"/>
      <c r="V146" s="529"/>
      <c r="W146" s="95"/>
      <c r="X146" s="13"/>
      <c r="Y146" s="57"/>
      <c r="Z146" s="105"/>
      <c r="AA146" s="529"/>
      <c r="AB146" s="208"/>
      <c r="AC146" s="13"/>
      <c r="AD146" s="57"/>
      <c r="AE146" s="105"/>
      <c r="AF146" s="644"/>
      <c r="AG146" s="198"/>
      <c r="AH146" s="199"/>
      <c r="AI146" s="200"/>
      <c r="AJ146" s="197"/>
      <c r="AK146" s="91"/>
      <c r="AL146"/>
      <c r="AM146"/>
      <c r="AN146"/>
      <c r="AO146"/>
      <c r="AP146"/>
      <c r="AQ146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1:86" s="1" customFormat="1" ht="18" hidden="1" customHeight="1">
      <c r="A147" s="515"/>
      <c r="B147" s="644"/>
      <c r="C147" s="194"/>
      <c r="D147" s="195"/>
      <c r="E147" s="196"/>
      <c r="F147" s="197"/>
      <c r="G147" s="529"/>
      <c r="H147" s="95"/>
      <c r="I147" s="13"/>
      <c r="J147" s="57"/>
      <c r="K147" s="105"/>
      <c r="L147" s="529"/>
      <c r="M147" s="95"/>
      <c r="N147" s="13"/>
      <c r="O147" s="57"/>
      <c r="P147" s="104"/>
      <c r="Q147" s="529"/>
      <c r="R147" s="95"/>
      <c r="S147" s="95"/>
      <c r="T147" s="57"/>
      <c r="U147" s="105"/>
      <c r="V147" s="529"/>
      <c r="W147" s="95"/>
      <c r="X147" s="13"/>
      <c r="Y147" s="57"/>
      <c r="Z147" s="105"/>
      <c r="AA147" s="529"/>
      <c r="AB147" s="208"/>
      <c r="AC147" s="13"/>
      <c r="AD147" s="57"/>
      <c r="AE147" s="105"/>
      <c r="AF147" s="644"/>
      <c r="AG147" s="198"/>
      <c r="AH147" s="199"/>
      <c r="AI147" s="200"/>
      <c r="AJ147" s="197"/>
      <c r="AK147" s="91"/>
      <c r="AL147"/>
      <c r="AM147"/>
      <c r="AN147"/>
      <c r="AO147"/>
      <c r="AP147"/>
      <c r="AQ147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1:86" s="1" customFormat="1" ht="18" hidden="1" customHeight="1">
      <c r="A148" s="515"/>
      <c r="B148" s="644"/>
      <c r="C148" s="194"/>
      <c r="D148" s="195"/>
      <c r="E148" s="196"/>
      <c r="F148" s="197"/>
      <c r="G148" s="529"/>
      <c r="H148" s="95"/>
      <c r="I148" s="13"/>
      <c r="J148" s="57"/>
      <c r="K148" s="105"/>
      <c r="L148" s="529"/>
      <c r="M148" s="95"/>
      <c r="N148" s="13"/>
      <c r="O148" s="57"/>
      <c r="P148" s="104"/>
      <c r="Q148" s="529"/>
      <c r="R148" s="95"/>
      <c r="S148" s="95"/>
      <c r="T148" s="57"/>
      <c r="U148" s="105"/>
      <c r="V148" s="529"/>
      <c r="W148" s="95"/>
      <c r="X148" s="13"/>
      <c r="Y148" s="57"/>
      <c r="Z148" s="105"/>
      <c r="AA148" s="529"/>
      <c r="AB148" s="208"/>
      <c r="AC148" s="13"/>
      <c r="AD148" s="57"/>
      <c r="AE148" s="105"/>
      <c r="AF148" s="644"/>
      <c r="AG148" s="198"/>
      <c r="AH148" s="199"/>
      <c r="AI148" s="200"/>
      <c r="AJ148" s="197"/>
      <c r="AK148" s="91"/>
      <c r="AL148"/>
      <c r="AM148"/>
      <c r="AN148"/>
      <c r="AO148"/>
      <c r="AP148"/>
      <c r="AQ148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1:86" s="1" customFormat="1" ht="18" hidden="1" customHeight="1">
      <c r="A149" s="515"/>
      <c r="B149" s="644"/>
      <c r="C149" s="194"/>
      <c r="D149" s="195"/>
      <c r="E149" s="196"/>
      <c r="F149" s="197"/>
      <c r="G149" s="529"/>
      <c r="H149" s="95"/>
      <c r="I149" s="13"/>
      <c r="J149" s="57"/>
      <c r="K149" s="105"/>
      <c r="L149" s="529"/>
      <c r="M149" s="95"/>
      <c r="N149" s="13"/>
      <c r="O149" s="57"/>
      <c r="P149" s="104"/>
      <c r="Q149" s="529"/>
      <c r="R149" s="95"/>
      <c r="S149" s="95"/>
      <c r="T149" s="57"/>
      <c r="U149" s="105"/>
      <c r="V149" s="529"/>
      <c r="W149" s="95"/>
      <c r="X149" s="13"/>
      <c r="Y149" s="57"/>
      <c r="Z149" s="105"/>
      <c r="AA149" s="529"/>
      <c r="AB149" s="208"/>
      <c r="AC149" s="13"/>
      <c r="AD149" s="57"/>
      <c r="AE149" s="105"/>
      <c r="AF149" s="644"/>
      <c r="AG149" s="198"/>
      <c r="AH149" s="199"/>
      <c r="AI149" s="200"/>
      <c r="AJ149" s="197"/>
      <c r="AK149" s="91"/>
      <c r="AL149"/>
      <c r="AM149"/>
      <c r="AN149"/>
      <c r="AO149"/>
      <c r="AP149"/>
      <c r="AQ149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1:86" s="1" customFormat="1" ht="18" hidden="1" customHeight="1">
      <c r="A150" s="515"/>
      <c r="B150" s="644"/>
      <c r="C150" s="194"/>
      <c r="D150" s="195"/>
      <c r="E150" s="196"/>
      <c r="F150" s="197"/>
      <c r="G150" s="529"/>
      <c r="H150" s="95"/>
      <c r="I150" s="13"/>
      <c r="J150" s="57"/>
      <c r="K150" s="105"/>
      <c r="L150" s="529"/>
      <c r="M150" s="95"/>
      <c r="N150" s="13"/>
      <c r="O150" s="57"/>
      <c r="P150" s="104"/>
      <c r="Q150" s="529"/>
      <c r="R150" s="95"/>
      <c r="S150" s="95"/>
      <c r="T150" s="57"/>
      <c r="U150" s="105"/>
      <c r="V150" s="529"/>
      <c r="W150" s="95"/>
      <c r="X150" s="13"/>
      <c r="Y150" s="57"/>
      <c r="Z150" s="105"/>
      <c r="AA150" s="529"/>
      <c r="AB150" s="208"/>
      <c r="AC150" s="13"/>
      <c r="AD150" s="57"/>
      <c r="AE150" s="105"/>
      <c r="AF150" s="644"/>
      <c r="AG150" s="198"/>
      <c r="AH150" s="199"/>
      <c r="AI150" s="200"/>
      <c r="AJ150" s="197"/>
      <c r="AK150" s="91"/>
      <c r="AL150"/>
      <c r="AM150"/>
      <c r="AN150"/>
      <c r="AO150"/>
      <c r="AP150"/>
      <c r="AQ150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1:86" s="1" customFormat="1" ht="18" hidden="1" customHeight="1">
      <c r="A151" s="515"/>
      <c r="B151" s="644"/>
      <c r="C151" s="194"/>
      <c r="D151" s="195"/>
      <c r="E151" s="196"/>
      <c r="F151" s="197"/>
      <c r="G151" s="529"/>
      <c r="H151" s="95"/>
      <c r="I151" s="13"/>
      <c r="J151" s="57"/>
      <c r="K151" s="105"/>
      <c r="L151" s="529"/>
      <c r="M151" s="95"/>
      <c r="N151" s="13"/>
      <c r="O151" s="57"/>
      <c r="P151" s="104"/>
      <c r="Q151" s="529"/>
      <c r="R151" s="95"/>
      <c r="S151" s="95"/>
      <c r="T151" s="57"/>
      <c r="U151" s="105"/>
      <c r="V151" s="529"/>
      <c r="W151" s="95"/>
      <c r="X151" s="13"/>
      <c r="Y151" s="57"/>
      <c r="Z151" s="105"/>
      <c r="AA151" s="529"/>
      <c r="AB151" s="208"/>
      <c r="AC151" s="13"/>
      <c r="AD151" s="57"/>
      <c r="AE151" s="105"/>
      <c r="AF151" s="644"/>
      <c r="AG151" s="198"/>
      <c r="AH151" s="199"/>
      <c r="AI151" s="200"/>
      <c r="AJ151" s="197"/>
      <c r="AK151" s="91"/>
      <c r="AL151"/>
      <c r="AM151"/>
      <c r="AN151"/>
      <c r="AO151"/>
      <c r="AP151"/>
      <c r="AQ151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1:86" s="1" customFormat="1" ht="18" hidden="1" customHeight="1">
      <c r="A152" s="515"/>
      <c r="B152" s="644"/>
      <c r="C152" s="194"/>
      <c r="D152" s="195"/>
      <c r="E152" s="196"/>
      <c r="F152" s="197"/>
      <c r="G152" s="529"/>
      <c r="H152" s="95"/>
      <c r="I152" s="13"/>
      <c r="J152" s="57"/>
      <c r="K152" s="105"/>
      <c r="L152" s="529"/>
      <c r="M152" s="95"/>
      <c r="N152" s="13"/>
      <c r="O152" s="57"/>
      <c r="P152" s="104"/>
      <c r="Q152" s="529"/>
      <c r="R152" s="95"/>
      <c r="S152" s="95"/>
      <c r="T152" s="57"/>
      <c r="U152" s="105"/>
      <c r="V152" s="529"/>
      <c r="W152" s="95"/>
      <c r="X152" s="13"/>
      <c r="Y152" s="57"/>
      <c r="Z152" s="105"/>
      <c r="AA152" s="529"/>
      <c r="AB152" s="208"/>
      <c r="AC152" s="13"/>
      <c r="AD152" s="57"/>
      <c r="AE152" s="105"/>
      <c r="AF152" s="644"/>
      <c r="AG152" s="198"/>
      <c r="AH152" s="199"/>
      <c r="AI152" s="200"/>
      <c r="AJ152" s="197"/>
      <c r="AK152" s="91"/>
      <c r="AL152"/>
      <c r="AM152"/>
      <c r="AN152"/>
      <c r="AO152"/>
      <c r="AP152"/>
      <c r="AQ152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1:86" s="1" customFormat="1" ht="18" hidden="1" customHeight="1">
      <c r="A153" s="593"/>
      <c r="B153" s="645"/>
      <c r="C153" s="201"/>
      <c r="D153" s="202"/>
      <c r="E153" s="203"/>
      <c r="F153" s="204"/>
      <c r="G153" s="530"/>
      <c r="H153" s="95"/>
      <c r="I153" s="13"/>
      <c r="J153" s="57"/>
      <c r="K153" s="107"/>
      <c r="L153" s="530"/>
      <c r="M153" s="95"/>
      <c r="N153" s="13"/>
      <c r="O153" s="57"/>
      <c r="P153" s="106"/>
      <c r="Q153" s="530"/>
      <c r="R153" s="95"/>
      <c r="S153" s="95"/>
      <c r="T153" s="57"/>
      <c r="U153" s="107"/>
      <c r="V153" s="530"/>
      <c r="W153" s="95"/>
      <c r="X153" s="13"/>
      <c r="Y153" s="57"/>
      <c r="Z153" s="107"/>
      <c r="AA153" s="530"/>
      <c r="AB153" s="208"/>
      <c r="AC153" s="13"/>
      <c r="AD153" s="57"/>
      <c r="AE153" s="107"/>
      <c r="AF153" s="645"/>
      <c r="AG153" s="205"/>
      <c r="AH153" s="206"/>
      <c r="AI153" s="207"/>
      <c r="AJ153" s="204"/>
      <c r="AK153" s="91"/>
      <c r="AL153"/>
      <c r="AM153"/>
      <c r="AN153"/>
      <c r="AO153"/>
      <c r="AP153"/>
      <c r="AQ153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1:86" s="1" customFormat="1" ht="18" hidden="1" customHeight="1">
      <c r="A154" s="592" t="s">
        <v>56</v>
      </c>
      <c r="B154" s="643"/>
      <c r="C154" s="187"/>
      <c r="D154" s="188"/>
      <c r="E154" s="189"/>
      <c r="F154" s="190"/>
      <c r="G154" s="528"/>
      <c r="H154" s="95"/>
      <c r="I154" s="13"/>
      <c r="J154" s="57"/>
      <c r="K154" s="108"/>
      <c r="L154" s="528"/>
      <c r="M154" s="95"/>
      <c r="N154" s="13"/>
      <c r="O154" s="57"/>
      <c r="P154" s="110"/>
      <c r="Q154" s="528"/>
      <c r="R154" s="95"/>
      <c r="S154" s="95"/>
      <c r="T154" s="57"/>
      <c r="U154" s="108"/>
      <c r="V154" s="528"/>
      <c r="W154" s="95"/>
      <c r="X154" s="13"/>
      <c r="Y154" s="57"/>
      <c r="Z154" s="108"/>
      <c r="AA154" s="528"/>
      <c r="AB154" s="208"/>
      <c r="AC154" s="13"/>
      <c r="AD154" s="57"/>
      <c r="AE154" s="108"/>
      <c r="AF154" s="643"/>
      <c r="AG154" s="191"/>
      <c r="AH154" s="192"/>
      <c r="AI154" s="193"/>
      <c r="AJ154" s="190"/>
      <c r="AK154" s="91"/>
      <c r="AL154"/>
      <c r="AM154"/>
      <c r="AN154"/>
      <c r="AO154"/>
      <c r="AP154"/>
      <c r="AQ15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1:86" s="1" customFormat="1" ht="18" hidden="1" customHeight="1">
      <c r="A155" s="515"/>
      <c r="B155" s="644"/>
      <c r="C155" s="194"/>
      <c r="D155" s="195"/>
      <c r="E155" s="196"/>
      <c r="F155" s="197"/>
      <c r="G155" s="529"/>
      <c r="H155" s="95"/>
      <c r="I155" s="13"/>
      <c r="J155" s="57"/>
      <c r="K155" s="105"/>
      <c r="L155" s="529"/>
      <c r="M155" s="95"/>
      <c r="N155" s="13"/>
      <c r="O155" s="57"/>
      <c r="P155" s="104"/>
      <c r="Q155" s="529"/>
      <c r="R155" s="95"/>
      <c r="S155" s="95"/>
      <c r="T155" s="57"/>
      <c r="U155" s="105"/>
      <c r="V155" s="529"/>
      <c r="W155" s="95"/>
      <c r="X155" s="13"/>
      <c r="Y155" s="57"/>
      <c r="Z155" s="105"/>
      <c r="AA155" s="529"/>
      <c r="AB155" s="208"/>
      <c r="AC155" s="13"/>
      <c r="AD155" s="57"/>
      <c r="AE155" s="105"/>
      <c r="AF155" s="644"/>
      <c r="AG155" s="198"/>
      <c r="AH155" s="199"/>
      <c r="AI155" s="200"/>
      <c r="AJ155" s="197"/>
      <c r="AK155" s="91"/>
      <c r="AL155"/>
      <c r="AM155"/>
      <c r="AN155"/>
      <c r="AO155"/>
      <c r="AP155"/>
      <c r="AQ155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1:86" s="1" customFormat="1" ht="18" hidden="1" customHeight="1">
      <c r="A156" s="515"/>
      <c r="B156" s="644"/>
      <c r="C156" s="194"/>
      <c r="D156" s="195"/>
      <c r="E156" s="196"/>
      <c r="F156" s="197"/>
      <c r="G156" s="529"/>
      <c r="H156" s="95"/>
      <c r="I156" s="13"/>
      <c r="J156" s="57"/>
      <c r="K156" s="105"/>
      <c r="L156" s="529"/>
      <c r="M156" s="95"/>
      <c r="N156" s="13"/>
      <c r="O156" s="57"/>
      <c r="P156" s="104"/>
      <c r="Q156" s="529"/>
      <c r="R156" s="95"/>
      <c r="S156" s="95"/>
      <c r="T156" s="57"/>
      <c r="U156" s="105"/>
      <c r="V156" s="529"/>
      <c r="W156" s="95"/>
      <c r="X156" s="13"/>
      <c r="Y156" s="57"/>
      <c r="Z156" s="105"/>
      <c r="AA156" s="529"/>
      <c r="AB156" s="208"/>
      <c r="AC156" s="13"/>
      <c r="AD156" s="57"/>
      <c r="AE156" s="105"/>
      <c r="AF156" s="644"/>
      <c r="AG156" s="198"/>
      <c r="AH156" s="199"/>
      <c r="AI156" s="200"/>
      <c r="AJ156" s="197"/>
      <c r="AK156" s="91"/>
      <c r="AL156"/>
      <c r="AM156"/>
      <c r="AN156"/>
      <c r="AO156"/>
      <c r="AP156"/>
      <c r="AQ156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1:86" s="1" customFormat="1" ht="18" hidden="1" customHeight="1">
      <c r="A157" s="515"/>
      <c r="B157" s="644"/>
      <c r="C157" s="194"/>
      <c r="D157" s="195"/>
      <c r="E157" s="196"/>
      <c r="F157" s="197"/>
      <c r="G157" s="529"/>
      <c r="H157" s="95"/>
      <c r="I157" s="13"/>
      <c r="J157" s="57"/>
      <c r="K157" s="105"/>
      <c r="L157" s="529"/>
      <c r="M157" s="95"/>
      <c r="N157" s="13"/>
      <c r="O157" s="57"/>
      <c r="P157" s="104"/>
      <c r="Q157" s="529"/>
      <c r="R157" s="95"/>
      <c r="S157" s="95"/>
      <c r="T157" s="57"/>
      <c r="U157" s="105"/>
      <c r="V157" s="529"/>
      <c r="W157" s="95"/>
      <c r="X157" s="13"/>
      <c r="Y157" s="57"/>
      <c r="Z157" s="105"/>
      <c r="AA157" s="529"/>
      <c r="AB157" s="208"/>
      <c r="AC157" s="13"/>
      <c r="AD157" s="57"/>
      <c r="AE157" s="105"/>
      <c r="AF157" s="644"/>
      <c r="AG157" s="198"/>
      <c r="AH157" s="199"/>
      <c r="AI157" s="200"/>
      <c r="AJ157" s="197"/>
      <c r="AK157" s="91"/>
      <c r="AL157"/>
      <c r="AM157"/>
      <c r="AN157"/>
      <c r="AO157"/>
      <c r="AP157"/>
      <c r="AQ157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1:86" s="1" customFormat="1" ht="18" hidden="1" customHeight="1">
      <c r="A158" s="515"/>
      <c r="B158" s="644"/>
      <c r="C158" s="194"/>
      <c r="D158" s="195"/>
      <c r="E158" s="196"/>
      <c r="F158" s="197"/>
      <c r="G158" s="529"/>
      <c r="H158" s="95"/>
      <c r="I158" s="13"/>
      <c r="J158" s="57"/>
      <c r="K158" s="105"/>
      <c r="L158" s="529"/>
      <c r="M158" s="95"/>
      <c r="N158" s="13"/>
      <c r="O158" s="57"/>
      <c r="P158" s="104"/>
      <c r="Q158" s="529"/>
      <c r="R158" s="95"/>
      <c r="S158" s="95"/>
      <c r="T158" s="57"/>
      <c r="U158" s="105"/>
      <c r="V158" s="529"/>
      <c r="W158" s="95"/>
      <c r="X158" s="13"/>
      <c r="Y158" s="57"/>
      <c r="Z158" s="105"/>
      <c r="AA158" s="529"/>
      <c r="AB158" s="208"/>
      <c r="AC158" s="13"/>
      <c r="AD158" s="57"/>
      <c r="AE158" s="105"/>
      <c r="AF158" s="644"/>
      <c r="AG158" s="198"/>
      <c r="AH158" s="199"/>
      <c r="AI158" s="200"/>
      <c r="AJ158" s="197"/>
      <c r="AK158" s="91"/>
      <c r="AL158"/>
      <c r="AM158"/>
      <c r="AN158"/>
      <c r="AO158"/>
      <c r="AP158"/>
      <c r="AQ158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1:86" s="1" customFormat="1" ht="18" hidden="1" customHeight="1">
      <c r="A159" s="515"/>
      <c r="B159" s="644"/>
      <c r="C159" s="194"/>
      <c r="D159" s="195"/>
      <c r="E159" s="196"/>
      <c r="F159" s="197"/>
      <c r="G159" s="529"/>
      <c r="H159" s="95"/>
      <c r="I159" s="13"/>
      <c r="J159" s="57"/>
      <c r="K159" s="105"/>
      <c r="L159" s="529"/>
      <c r="M159" s="95"/>
      <c r="N159" s="13"/>
      <c r="O159" s="57"/>
      <c r="P159" s="104"/>
      <c r="Q159" s="529"/>
      <c r="R159" s="95"/>
      <c r="S159" s="95"/>
      <c r="T159" s="57"/>
      <c r="U159" s="105"/>
      <c r="V159" s="529"/>
      <c r="W159" s="95"/>
      <c r="X159" s="13"/>
      <c r="Y159" s="57"/>
      <c r="Z159" s="105"/>
      <c r="AA159" s="529"/>
      <c r="AB159" s="208"/>
      <c r="AC159" s="13"/>
      <c r="AD159" s="57"/>
      <c r="AE159" s="105"/>
      <c r="AF159" s="644"/>
      <c r="AG159" s="198"/>
      <c r="AH159" s="199"/>
      <c r="AI159" s="200"/>
      <c r="AJ159" s="197"/>
      <c r="AK159" s="91"/>
      <c r="AL159"/>
      <c r="AM159"/>
      <c r="AN159"/>
      <c r="AO159"/>
      <c r="AP159"/>
      <c r="AQ159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1:86" s="1" customFormat="1" ht="18" hidden="1" customHeight="1">
      <c r="A160" s="515"/>
      <c r="B160" s="644"/>
      <c r="C160" s="194"/>
      <c r="D160" s="195"/>
      <c r="E160" s="196"/>
      <c r="F160" s="197"/>
      <c r="G160" s="529"/>
      <c r="H160" s="95"/>
      <c r="I160" s="13"/>
      <c r="J160" s="57"/>
      <c r="K160" s="105"/>
      <c r="L160" s="529"/>
      <c r="M160" s="95"/>
      <c r="N160" s="13"/>
      <c r="O160" s="57"/>
      <c r="P160" s="104"/>
      <c r="Q160" s="529"/>
      <c r="R160" s="95"/>
      <c r="S160" s="95"/>
      <c r="T160" s="57"/>
      <c r="U160" s="105"/>
      <c r="V160" s="529"/>
      <c r="W160" s="95"/>
      <c r="X160" s="13"/>
      <c r="Y160" s="57"/>
      <c r="Z160" s="105"/>
      <c r="AA160" s="529"/>
      <c r="AB160" s="208"/>
      <c r="AC160" s="13"/>
      <c r="AD160" s="57"/>
      <c r="AE160" s="105"/>
      <c r="AF160" s="644"/>
      <c r="AG160" s="198"/>
      <c r="AH160" s="199"/>
      <c r="AI160" s="200"/>
      <c r="AJ160" s="197"/>
      <c r="AK160" s="91"/>
      <c r="AL160"/>
      <c r="AM160"/>
      <c r="AN160"/>
      <c r="AO160"/>
      <c r="AP160"/>
      <c r="AQ160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1:86" s="1" customFormat="1" ht="18" hidden="1" customHeight="1">
      <c r="A161" s="515"/>
      <c r="B161" s="644"/>
      <c r="C161" s="194"/>
      <c r="D161" s="195"/>
      <c r="E161" s="196"/>
      <c r="F161" s="197"/>
      <c r="G161" s="529"/>
      <c r="H161" s="95"/>
      <c r="I161" s="13"/>
      <c r="J161" s="57"/>
      <c r="K161" s="105"/>
      <c r="L161" s="529"/>
      <c r="M161" s="95"/>
      <c r="N161" s="13"/>
      <c r="O161" s="57"/>
      <c r="P161" s="104"/>
      <c r="Q161" s="529"/>
      <c r="R161" s="95"/>
      <c r="S161" s="95"/>
      <c r="T161" s="57"/>
      <c r="U161" s="105"/>
      <c r="V161" s="529"/>
      <c r="W161" s="95"/>
      <c r="X161" s="13"/>
      <c r="Y161" s="57"/>
      <c r="Z161" s="105"/>
      <c r="AA161" s="529"/>
      <c r="AB161" s="208"/>
      <c r="AC161" s="13"/>
      <c r="AD161" s="57"/>
      <c r="AE161" s="105"/>
      <c r="AF161" s="644"/>
      <c r="AG161" s="198"/>
      <c r="AH161" s="199"/>
      <c r="AI161" s="200"/>
      <c r="AJ161" s="197"/>
      <c r="AK161" s="91"/>
      <c r="AL161"/>
      <c r="AM161"/>
      <c r="AN161"/>
      <c r="AO161"/>
      <c r="AP161"/>
      <c r="AQ161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1:86" s="1" customFormat="1" ht="18" hidden="1" customHeight="1">
      <c r="A162" s="515"/>
      <c r="B162" s="644"/>
      <c r="C162" s="194"/>
      <c r="D162" s="195"/>
      <c r="E162" s="196"/>
      <c r="F162" s="197"/>
      <c r="G162" s="529"/>
      <c r="H162" s="95"/>
      <c r="I162" s="13"/>
      <c r="J162" s="57"/>
      <c r="K162" s="105"/>
      <c r="L162" s="529"/>
      <c r="M162" s="95"/>
      <c r="N162" s="13"/>
      <c r="O162" s="57"/>
      <c r="P162" s="104"/>
      <c r="Q162" s="529"/>
      <c r="R162" s="95"/>
      <c r="S162" s="95"/>
      <c r="T162" s="57"/>
      <c r="U162" s="105"/>
      <c r="V162" s="529"/>
      <c r="W162" s="95"/>
      <c r="X162" s="13"/>
      <c r="Y162" s="57"/>
      <c r="Z162" s="105"/>
      <c r="AA162" s="529"/>
      <c r="AB162" s="208"/>
      <c r="AC162" s="13"/>
      <c r="AD162" s="57"/>
      <c r="AE162" s="105"/>
      <c r="AF162" s="644"/>
      <c r="AG162" s="198"/>
      <c r="AH162" s="199"/>
      <c r="AI162" s="200"/>
      <c r="AJ162" s="197"/>
      <c r="AK162" s="91"/>
      <c r="AL162"/>
      <c r="AM162"/>
      <c r="AN162"/>
      <c r="AO162"/>
      <c r="AP162"/>
      <c r="AQ162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1:86" s="1" customFormat="1" ht="18" hidden="1" customHeight="1">
      <c r="A163" s="515"/>
      <c r="B163" s="644"/>
      <c r="C163" s="194"/>
      <c r="D163" s="195"/>
      <c r="E163" s="196"/>
      <c r="F163" s="197"/>
      <c r="G163" s="529"/>
      <c r="H163" s="95"/>
      <c r="I163" s="13"/>
      <c r="J163" s="57"/>
      <c r="K163" s="105"/>
      <c r="L163" s="529"/>
      <c r="M163" s="95"/>
      <c r="N163" s="13"/>
      <c r="O163" s="57"/>
      <c r="P163" s="104"/>
      <c r="Q163" s="529"/>
      <c r="R163" s="95"/>
      <c r="S163" s="95"/>
      <c r="T163" s="57"/>
      <c r="U163" s="105"/>
      <c r="V163" s="529"/>
      <c r="W163" s="95"/>
      <c r="X163" s="13"/>
      <c r="Y163" s="57"/>
      <c r="Z163" s="105"/>
      <c r="AA163" s="529"/>
      <c r="AB163" s="208"/>
      <c r="AC163" s="13"/>
      <c r="AD163" s="57"/>
      <c r="AE163" s="105"/>
      <c r="AF163" s="644"/>
      <c r="AG163" s="198"/>
      <c r="AH163" s="199"/>
      <c r="AI163" s="200"/>
      <c r="AJ163" s="197"/>
      <c r="AK163" s="91"/>
      <c r="AL163"/>
      <c r="AM163"/>
      <c r="AN163"/>
      <c r="AO163"/>
      <c r="AP163"/>
      <c r="AQ163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1:86" s="1" customFormat="1" ht="18" hidden="1" customHeight="1">
      <c r="A164" s="515"/>
      <c r="B164" s="644"/>
      <c r="C164" s="194"/>
      <c r="D164" s="195"/>
      <c r="E164" s="196"/>
      <c r="F164" s="197"/>
      <c r="G164" s="529"/>
      <c r="H164" s="95"/>
      <c r="I164" s="13"/>
      <c r="J164" s="57"/>
      <c r="K164" s="105"/>
      <c r="L164" s="529"/>
      <c r="M164" s="95"/>
      <c r="N164" s="13"/>
      <c r="O164" s="57"/>
      <c r="P164" s="104"/>
      <c r="Q164" s="529"/>
      <c r="R164" s="95"/>
      <c r="S164" s="95"/>
      <c r="T164" s="57"/>
      <c r="U164" s="105"/>
      <c r="V164" s="529"/>
      <c r="W164" s="95"/>
      <c r="X164" s="13"/>
      <c r="Y164" s="57"/>
      <c r="Z164" s="105"/>
      <c r="AA164" s="529"/>
      <c r="AB164" s="208"/>
      <c r="AC164" s="13"/>
      <c r="AD164" s="57"/>
      <c r="AE164" s="105"/>
      <c r="AF164" s="644"/>
      <c r="AG164" s="198"/>
      <c r="AH164" s="199"/>
      <c r="AI164" s="200"/>
      <c r="AJ164" s="197"/>
      <c r="AK164" s="91"/>
      <c r="AL164"/>
      <c r="AM164"/>
      <c r="AN164"/>
      <c r="AO164"/>
      <c r="AP164"/>
      <c r="AQ16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1:86" s="1" customFormat="1" ht="18" hidden="1" customHeight="1">
      <c r="A165" s="515"/>
      <c r="B165" s="644"/>
      <c r="C165" s="194"/>
      <c r="D165" s="195"/>
      <c r="E165" s="196"/>
      <c r="F165" s="197"/>
      <c r="G165" s="529"/>
      <c r="H165" s="95"/>
      <c r="I165" s="13"/>
      <c r="J165" s="57"/>
      <c r="K165" s="105"/>
      <c r="L165" s="529"/>
      <c r="M165" s="95"/>
      <c r="N165" s="13"/>
      <c r="O165" s="57"/>
      <c r="P165" s="104"/>
      <c r="Q165" s="529"/>
      <c r="R165" s="95"/>
      <c r="S165" s="95"/>
      <c r="T165" s="57"/>
      <c r="U165" s="105"/>
      <c r="V165" s="529"/>
      <c r="W165" s="95"/>
      <c r="X165" s="13"/>
      <c r="Y165" s="57"/>
      <c r="Z165" s="105"/>
      <c r="AA165" s="529"/>
      <c r="AB165" s="208"/>
      <c r="AC165" s="13"/>
      <c r="AD165" s="57"/>
      <c r="AE165" s="105"/>
      <c r="AF165" s="644"/>
      <c r="AG165" s="198"/>
      <c r="AH165" s="199"/>
      <c r="AI165" s="200"/>
      <c r="AJ165" s="197"/>
      <c r="AK165" s="91"/>
      <c r="AL165"/>
      <c r="AM165"/>
      <c r="AN165"/>
      <c r="AO165"/>
      <c r="AP165"/>
      <c r="AQ165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1:86" s="1" customFormat="1" ht="18" hidden="1" customHeight="1">
      <c r="A166" s="515"/>
      <c r="B166" s="644"/>
      <c r="C166" s="194"/>
      <c r="D166" s="195"/>
      <c r="E166" s="196"/>
      <c r="F166" s="197"/>
      <c r="G166" s="529"/>
      <c r="H166" s="95"/>
      <c r="I166" s="13"/>
      <c r="J166" s="57"/>
      <c r="K166" s="105"/>
      <c r="L166" s="529"/>
      <c r="M166" s="95"/>
      <c r="N166" s="13"/>
      <c r="O166" s="57"/>
      <c r="P166" s="104"/>
      <c r="Q166" s="529"/>
      <c r="R166" s="95"/>
      <c r="S166" s="95"/>
      <c r="T166" s="57"/>
      <c r="U166" s="105"/>
      <c r="V166" s="529"/>
      <c r="W166" s="95"/>
      <c r="X166" s="13"/>
      <c r="Y166" s="57"/>
      <c r="Z166" s="105"/>
      <c r="AA166" s="529"/>
      <c r="AB166" s="208"/>
      <c r="AC166" s="13"/>
      <c r="AD166" s="57"/>
      <c r="AE166" s="105"/>
      <c r="AF166" s="644"/>
      <c r="AG166" s="198"/>
      <c r="AH166" s="199"/>
      <c r="AI166" s="200"/>
      <c r="AJ166" s="197"/>
      <c r="AK166" s="91"/>
      <c r="AL166"/>
      <c r="AM166"/>
      <c r="AN166"/>
      <c r="AO166"/>
      <c r="AP166"/>
      <c r="AQ166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1:86" s="1" customFormat="1" ht="18" hidden="1" customHeight="1">
      <c r="A167" s="515"/>
      <c r="B167" s="644"/>
      <c r="C167" s="194"/>
      <c r="D167" s="195"/>
      <c r="E167" s="196"/>
      <c r="F167" s="197"/>
      <c r="G167" s="529"/>
      <c r="H167" s="95"/>
      <c r="I167" s="13"/>
      <c r="J167" s="57"/>
      <c r="K167" s="105"/>
      <c r="L167" s="529"/>
      <c r="M167" s="95"/>
      <c r="N167" s="13"/>
      <c r="O167" s="57"/>
      <c r="P167" s="104"/>
      <c r="Q167" s="529"/>
      <c r="R167" s="95"/>
      <c r="S167" s="95"/>
      <c r="T167" s="57"/>
      <c r="U167" s="105"/>
      <c r="V167" s="529"/>
      <c r="W167" s="95"/>
      <c r="X167" s="13"/>
      <c r="Y167" s="57"/>
      <c r="Z167" s="105"/>
      <c r="AA167" s="529"/>
      <c r="AB167" s="208"/>
      <c r="AC167" s="13"/>
      <c r="AD167" s="57"/>
      <c r="AE167" s="105"/>
      <c r="AF167" s="644"/>
      <c r="AG167" s="198"/>
      <c r="AH167" s="199"/>
      <c r="AI167" s="200"/>
      <c r="AJ167" s="197"/>
      <c r="AK167" s="91"/>
      <c r="AL167"/>
      <c r="AM167"/>
      <c r="AN167"/>
      <c r="AO167"/>
      <c r="AP167"/>
      <c r="AQ167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1:86" s="1" customFormat="1" ht="18" hidden="1" customHeight="1">
      <c r="A168" s="593"/>
      <c r="B168" s="645"/>
      <c r="C168" s="201"/>
      <c r="D168" s="202"/>
      <c r="E168" s="203"/>
      <c r="F168" s="204"/>
      <c r="G168" s="530"/>
      <c r="H168" s="95"/>
      <c r="I168" s="13"/>
      <c r="J168" s="57"/>
      <c r="K168" s="107"/>
      <c r="L168" s="530"/>
      <c r="M168" s="95"/>
      <c r="N168" s="13"/>
      <c r="O168" s="57"/>
      <c r="P168" s="106"/>
      <c r="Q168" s="530"/>
      <c r="R168" s="95"/>
      <c r="S168" s="95"/>
      <c r="T168" s="57"/>
      <c r="U168" s="107"/>
      <c r="V168" s="530"/>
      <c r="W168" s="95"/>
      <c r="X168" s="13"/>
      <c r="Y168" s="57"/>
      <c r="Z168" s="107"/>
      <c r="AA168" s="530"/>
      <c r="AB168" s="208"/>
      <c r="AC168" s="13"/>
      <c r="AD168" s="57"/>
      <c r="AE168" s="107"/>
      <c r="AF168" s="645"/>
      <c r="AG168" s="205"/>
      <c r="AH168" s="206"/>
      <c r="AI168" s="207"/>
      <c r="AJ168" s="204"/>
      <c r="AK168" s="91"/>
      <c r="AL168"/>
      <c r="AM168"/>
      <c r="AN168"/>
      <c r="AO168"/>
      <c r="AP168"/>
      <c r="AQ168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1:86" s="1" customFormat="1" ht="18" hidden="1" customHeight="1">
      <c r="A169" s="592" t="s">
        <v>57</v>
      </c>
      <c r="B169" s="643"/>
      <c r="C169" s="187"/>
      <c r="D169" s="188"/>
      <c r="E169" s="189"/>
      <c r="F169" s="190"/>
      <c r="G169" s="528"/>
      <c r="H169" s="95"/>
      <c r="I169" s="13"/>
      <c r="J169" s="57"/>
      <c r="K169" s="108"/>
      <c r="L169" s="528"/>
      <c r="M169" s="95"/>
      <c r="N169" s="13"/>
      <c r="O169" s="57"/>
      <c r="P169" s="110"/>
      <c r="Q169" s="528"/>
      <c r="R169" s="95"/>
      <c r="S169" s="95"/>
      <c r="T169" s="57"/>
      <c r="U169" s="108"/>
      <c r="V169" s="528"/>
      <c r="W169" s="95"/>
      <c r="X169" s="13"/>
      <c r="Y169" s="57"/>
      <c r="Z169" s="108"/>
      <c r="AA169" s="528"/>
      <c r="AB169" s="208"/>
      <c r="AC169" s="13"/>
      <c r="AD169" s="57"/>
      <c r="AE169" s="108"/>
      <c r="AF169" s="643"/>
      <c r="AG169" s="191"/>
      <c r="AH169" s="192"/>
      <c r="AI169" s="193"/>
      <c r="AJ169" s="190"/>
      <c r="AK169" s="91"/>
      <c r="AL169"/>
      <c r="AM169"/>
      <c r="AN169"/>
      <c r="AO169"/>
      <c r="AP169"/>
      <c r="AQ169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1:86" s="1" customFormat="1" ht="18" hidden="1" customHeight="1">
      <c r="A170" s="515"/>
      <c r="B170" s="644"/>
      <c r="C170" s="194"/>
      <c r="D170" s="195"/>
      <c r="E170" s="196"/>
      <c r="F170" s="197"/>
      <c r="G170" s="529"/>
      <c r="H170" s="95"/>
      <c r="I170" s="13"/>
      <c r="J170" s="57"/>
      <c r="K170" s="105"/>
      <c r="L170" s="529"/>
      <c r="M170" s="95"/>
      <c r="N170" s="13"/>
      <c r="O170" s="57"/>
      <c r="P170" s="104"/>
      <c r="Q170" s="529"/>
      <c r="R170" s="95"/>
      <c r="S170" s="95"/>
      <c r="T170" s="57"/>
      <c r="U170" s="105"/>
      <c r="V170" s="529"/>
      <c r="W170" s="95"/>
      <c r="X170" s="13"/>
      <c r="Y170" s="57"/>
      <c r="Z170" s="105"/>
      <c r="AA170" s="529"/>
      <c r="AB170" s="208"/>
      <c r="AC170" s="13"/>
      <c r="AD170" s="57"/>
      <c r="AE170" s="105"/>
      <c r="AF170" s="644"/>
      <c r="AG170" s="198"/>
      <c r="AH170" s="199"/>
      <c r="AI170" s="200"/>
      <c r="AJ170" s="197"/>
      <c r="AK170" s="91"/>
      <c r="AL170"/>
      <c r="AM170"/>
      <c r="AN170"/>
      <c r="AO170"/>
      <c r="AP170"/>
      <c r="AQ170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4"/>
      <c r="BZ170" s="224"/>
      <c r="CA170" s="224"/>
      <c r="CB170" s="224"/>
      <c r="CC170" s="224"/>
      <c r="CD170" s="224"/>
      <c r="CE170" s="224"/>
      <c r="CF170" s="224"/>
      <c r="CG170" s="224"/>
      <c r="CH170" s="224"/>
    </row>
    <row r="171" spans="1:86" s="1" customFormat="1" ht="18" hidden="1" customHeight="1">
      <c r="A171" s="515"/>
      <c r="B171" s="644"/>
      <c r="C171" s="194"/>
      <c r="D171" s="195"/>
      <c r="E171" s="196"/>
      <c r="F171" s="197"/>
      <c r="G171" s="529"/>
      <c r="H171" s="95"/>
      <c r="I171" s="13"/>
      <c r="J171" s="57"/>
      <c r="K171" s="105"/>
      <c r="L171" s="529"/>
      <c r="M171" s="95"/>
      <c r="N171" s="13"/>
      <c r="O171" s="57"/>
      <c r="P171" s="104"/>
      <c r="Q171" s="529"/>
      <c r="R171" s="95"/>
      <c r="S171" s="95"/>
      <c r="T171" s="57"/>
      <c r="U171" s="105"/>
      <c r="V171" s="529"/>
      <c r="W171" s="95"/>
      <c r="X171" s="13"/>
      <c r="Y171" s="57"/>
      <c r="Z171" s="105"/>
      <c r="AA171" s="529"/>
      <c r="AB171" s="208"/>
      <c r="AC171" s="13"/>
      <c r="AD171" s="57"/>
      <c r="AE171" s="105"/>
      <c r="AF171" s="644"/>
      <c r="AG171" s="198"/>
      <c r="AH171" s="199"/>
      <c r="AI171" s="200"/>
      <c r="AJ171" s="197"/>
      <c r="AK171" s="91"/>
      <c r="AL171"/>
      <c r="AM171"/>
      <c r="AN171"/>
      <c r="AO171"/>
      <c r="AP171"/>
      <c r="AQ171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  <c r="BP171" s="224"/>
      <c r="BQ171" s="224"/>
      <c r="BR171" s="224"/>
      <c r="BS171" s="224"/>
      <c r="BT171" s="224"/>
      <c r="BU171" s="224"/>
      <c r="BV171" s="224"/>
      <c r="BW171" s="224"/>
      <c r="BX171" s="224"/>
      <c r="BY171" s="224"/>
      <c r="BZ171" s="224"/>
      <c r="CA171" s="224"/>
      <c r="CB171" s="224"/>
      <c r="CC171" s="224"/>
      <c r="CD171" s="224"/>
      <c r="CE171" s="224"/>
      <c r="CF171" s="224"/>
      <c r="CG171" s="224"/>
      <c r="CH171" s="224"/>
    </row>
    <row r="172" spans="1:86" s="1" customFormat="1" ht="18" hidden="1" customHeight="1">
      <c r="A172" s="515"/>
      <c r="B172" s="644"/>
      <c r="C172" s="194"/>
      <c r="D172" s="195"/>
      <c r="E172" s="196"/>
      <c r="F172" s="197"/>
      <c r="G172" s="529"/>
      <c r="H172" s="95"/>
      <c r="I172" s="13"/>
      <c r="J172" s="57"/>
      <c r="K172" s="105"/>
      <c r="L172" s="529"/>
      <c r="M172" s="95"/>
      <c r="N172" s="13"/>
      <c r="O172" s="57"/>
      <c r="P172" s="104"/>
      <c r="Q172" s="529"/>
      <c r="R172" s="95"/>
      <c r="S172" s="95"/>
      <c r="T172" s="57"/>
      <c r="U172" s="105"/>
      <c r="V172" s="529"/>
      <c r="W172" s="95"/>
      <c r="X172" s="13"/>
      <c r="Y172" s="57"/>
      <c r="Z172" s="105"/>
      <c r="AA172" s="529"/>
      <c r="AB172" s="208"/>
      <c r="AC172" s="13"/>
      <c r="AD172" s="57"/>
      <c r="AE172" s="105"/>
      <c r="AF172" s="644"/>
      <c r="AG172" s="198"/>
      <c r="AH172" s="199"/>
      <c r="AI172" s="200"/>
      <c r="AJ172" s="197"/>
      <c r="AK172" s="91"/>
      <c r="AL172"/>
      <c r="AM172"/>
      <c r="AN172"/>
      <c r="AO172"/>
      <c r="AP172"/>
      <c r="AQ172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  <c r="BP172" s="224"/>
      <c r="BQ172" s="224"/>
      <c r="BR172" s="224"/>
      <c r="BS172" s="224"/>
      <c r="BT172" s="224"/>
      <c r="BU172" s="224"/>
      <c r="BV172" s="224"/>
      <c r="BW172" s="224"/>
      <c r="BX172" s="224"/>
      <c r="BY172" s="224"/>
      <c r="BZ172" s="224"/>
      <c r="CA172" s="224"/>
      <c r="CB172" s="224"/>
      <c r="CC172" s="224"/>
      <c r="CD172" s="224"/>
      <c r="CE172" s="224"/>
      <c r="CF172" s="224"/>
      <c r="CG172" s="224"/>
      <c r="CH172" s="224"/>
    </row>
    <row r="173" spans="1:86" s="1" customFormat="1" ht="18" hidden="1" customHeight="1">
      <c r="A173" s="515"/>
      <c r="B173" s="644"/>
      <c r="C173" s="194"/>
      <c r="D173" s="195"/>
      <c r="E173" s="196"/>
      <c r="F173" s="197"/>
      <c r="G173" s="529"/>
      <c r="H173" s="95"/>
      <c r="I173" s="13"/>
      <c r="J173" s="57"/>
      <c r="K173" s="105"/>
      <c r="L173" s="529"/>
      <c r="M173" s="95"/>
      <c r="N173" s="13"/>
      <c r="O173" s="57"/>
      <c r="P173" s="104"/>
      <c r="Q173" s="529"/>
      <c r="R173" s="95"/>
      <c r="S173" s="95"/>
      <c r="T173" s="57"/>
      <c r="U173" s="105"/>
      <c r="V173" s="529"/>
      <c r="W173" s="95"/>
      <c r="X173" s="13"/>
      <c r="Y173" s="57"/>
      <c r="Z173" s="105"/>
      <c r="AA173" s="529"/>
      <c r="AB173" s="208"/>
      <c r="AC173" s="13"/>
      <c r="AD173" s="57"/>
      <c r="AE173" s="105"/>
      <c r="AF173" s="644"/>
      <c r="AG173" s="198"/>
      <c r="AH173" s="199"/>
      <c r="AI173" s="200"/>
      <c r="AJ173" s="197"/>
      <c r="AK173" s="91"/>
      <c r="AL173"/>
      <c r="AM173"/>
      <c r="AN173"/>
      <c r="AO173"/>
      <c r="AP173"/>
      <c r="AQ173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4"/>
      <c r="BW173" s="224"/>
      <c r="BX173" s="224"/>
      <c r="BY173" s="224"/>
      <c r="BZ173" s="224"/>
      <c r="CA173" s="224"/>
      <c r="CB173" s="224"/>
      <c r="CC173" s="224"/>
      <c r="CD173" s="224"/>
      <c r="CE173" s="224"/>
      <c r="CF173" s="224"/>
      <c r="CG173" s="224"/>
      <c r="CH173" s="224"/>
    </row>
    <row r="174" spans="1:86" s="1" customFormat="1" ht="18" hidden="1" customHeight="1">
      <c r="A174" s="515"/>
      <c r="B174" s="644"/>
      <c r="C174" s="194"/>
      <c r="D174" s="195"/>
      <c r="E174" s="196"/>
      <c r="F174" s="197"/>
      <c r="G174" s="529"/>
      <c r="H174" s="95"/>
      <c r="I174" s="13"/>
      <c r="J174" s="57"/>
      <c r="K174" s="105"/>
      <c r="L174" s="529"/>
      <c r="M174" s="95"/>
      <c r="N174" s="13"/>
      <c r="O174" s="57"/>
      <c r="P174" s="104"/>
      <c r="Q174" s="529"/>
      <c r="R174" s="95"/>
      <c r="S174" s="95"/>
      <c r="T174" s="57"/>
      <c r="U174" s="105"/>
      <c r="V174" s="529"/>
      <c r="W174" s="95"/>
      <c r="X174" s="13"/>
      <c r="Y174" s="57"/>
      <c r="Z174" s="105"/>
      <c r="AA174" s="529"/>
      <c r="AB174" s="208"/>
      <c r="AC174" s="13"/>
      <c r="AD174" s="57"/>
      <c r="AE174" s="105"/>
      <c r="AF174" s="644"/>
      <c r="AG174" s="198"/>
      <c r="AH174" s="199"/>
      <c r="AI174" s="200"/>
      <c r="AJ174" s="197"/>
      <c r="AK174" s="91"/>
      <c r="AL174"/>
      <c r="AM174"/>
      <c r="AN174"/>
      <c r="AO174"/>
      <c r="AP174"/>
      <c r="AQ17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224"/>
      <c r="BO174" s="224"/>
      <c r="BP174" s="224"/>
      <c r="BQ174" s="224"/>
      <c r="BR174" s="224"/>
      <c r="BS174" s="224"/>
      <c r="BT174" s="224"/>
      <c r="BU174" s="224"/>
      <c r="BV174" s="224"/>
      <c r="BW174" s="224"/>
      <c r="BX174" s="224"/>
      <c r="BY174" s="224"/>
      <c r="BZ174" s="224"/>
      <c r="CA174" s="224"/>
      <c r="CB174" s="224"/>
      <c r="CC174" s="224"/>
      <c r="CD174" s="224"/>
      <c r="CE174" s="224"/>
      <c r="CF174" s="224"/>
      <c r="CG174" s="224"/>
      <c r="CH174" s="224"/>
    </row>
    <row r="175" spans="1:86" s="1" customFormat="1" ht="18" hidden="1" customHeight="1">
      <c r="A175" s="515"/>
      <c r="B175" s="644"/>
      <c r="C175" s="194"/>
      <c r="D175" s="195"/>
      <c r="E175" s="196"/>
      <c r="F175" s="197"/>
      <c r="G175" s="529"/>
      <c r="H175" s="95"/>
      <c r="I175" s="13"/>
      <c r="J175" s="57"/>
      <c r="K175" s="105"/>
      <c r="L175" s="529"/>
      <c r="M175" s="95"/>
      <c r="N175" s="13"/>
      <c r="O175" s="57"/>
      <c r="P175" s="104"/>
      <c r="Q175" s="529"/>
      <c r="R175" s="95"/>
      <c r="S175" s="95"/>
      <c r="T175" s="57"/>
      <c r="U175" s="105"/>
      <c r="V175" s="529"/>
      <c r="W175" s="95"/>
      <c r="X175" s="13"/>
      <c r="Y175" s="57"/>
      <c r="Z175" s="105"/>
      <c r="AA175" s="529"/>
      <c r="AB175" s="208"/>
      <c r="AC175" s="13"/>
      <c r="AD175" s="57"/>
      <c r="AE175" s="105"/>
      <c r="AF175" s="644"/>
      <c r="AG175" s="198"/>
      <c r="AH175" s="199"/>
      <c r="AI175" s="200"/>
      <c r="AJ175" s="197"/>
      <c r="AK175" s="91"/>
      <c r="AL175"/>
      <c r="AM175"/>
      <c r="AN175"/>
      <c r="AO175"/>
      <c r="AP175"/>
      <c r="AQ175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224"/>
      <c r="BO175" s="224"/>
      <c r="BP175" s="224"/>
      <c r="BQ175" s="224"/>
      <c r="BR175" s="224"/>
      <c r="BS175" s="224"/>
      <c r="BT175" s="224"/>
      <c r="BU175" s="224"/>
      <c r="BV175" s="224"/>
      <c r="BW175" s="224"/>
      <c r="BX175" s="224"/>
      <c r="BY175" s="224"/>
      <c r="BZ175" s="224"/>
      <c r="CA175" s="224"/>
      <c r="CB175" s="224"/>
      <c r="CC175" s="224"/>
      <c r="CD175" s="224"/>
      <c r="CE175" s="224"/>
      <c r="CF175" s="224"/>
      <c r="CG175" s="224"/>
      <c r="CH175" s="224"/>
    </row>
    <row r="176" spans="1:86" s="1" customFormat="1" ht="18" hidden="1" customHeight="1">
      <c r="A176" s="515"/>
      <c r="B176" s="644"/>
      <c r="C176" s="194"/>
      <c r="D176" s="195"/>
      <c r="E176" s="196"/>
      <c r="F176" s="197"/>
      <c r="G176" s="529"/>
      <c r="H176" s="95"/>
      <c r="I176" s="13"/>
      <c r="J176" s="57"/>
      <c r="K176" s="105"/>
      <c r="L176" s="529"/>
      <c r="M176" s="95"/>
      <c r="N176" s="13"/>
      <c r="O176" s="57"/>
      <c r="P176" s="104"/>
      <c r="Q176" s="529"/>
      <c r="R176" s="95"/>
      <c r="S176" s="95"/>
      <c r="T176" s="57"/>
      <c r="U176" s="105"/>
      <c r="V176" s="529"/>
      <c r="W176" s="95"/>
      <c r="X176" s="13"/>
      <c r="Y176" s="57"/>
      <c r="Z176" s="105"/>
      <c r="AA176" s="529"/>
      <c r="AB176" s="208"/>
      <c r="AC176" s="13"/>
      <c r="AD176" s="57"/>
      <c r="AE176" s="105"/>
      <c r="AF176" s="644"/>
      <c r="AG176" s="198"/>
      <c r="AH176" s="199"/>
      <c r="AI176" s="200"/>
      <c r="AJ176" s="197"/>
      <c r="AK176" s="91"/>
      <c r="AL176"/>
      <c r="AM176"/>
      <c r="AN176"/>
      <c r="AO176"/>
      <c r="AP176"/>
      <c r="AQ176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4"/>
      <c r="BN176" s="224"/>
      <c r="BO176" s="224"/>
      <c r="BP176" s="224"/>
      <c r="BQ176" s="224"/>
      <c r="BR176" s="224"/>
      <c r="BS176" s="224"/>
      <c r="BT176" s="224"/>
      <c r="BU176" s="224"/>
      <c r="BV176" s="224"/>
      <c r="BW176" s="224"/>
      <c r="BX176" s="224"/>
      <c r="BY176" s="224"/>
      <c r="BZ176" s="224"/>
      <c r="CA176" s="224"/>
      <c r="CB176" s="224"/>
      <c r="CC176" s="224"/>
      <c r="CD176" s="224"/>
      <c r="CE176" s="224"/>
      <c r="CF176" s="224"/>
      <c r="CG176" s="224"/>
      <c r="CH176" s="224"/>
    </row>
    <row r="177" spans="1:86" s="1" customFormat="1" ht="18" hidden="1" customHeight="1">
      <c r="A177" s="515"/>
      <c r="B177" s="644"/>
      <c r="C177" s="194"/>
      <c r="D177" s="195"/>
      <c r="E177" s="196"/>
      <c r="F177" s="197"/>
      <c r="G177" s="529"/>
      <c r="H177" s="95"/>
      <c r="I177" s="13"/>
      <c r="J177" s="57"/>
      <c r="K177" s="105"/>
      <c r="L177" s="529"/>
      <c r="M177" s="95"/>
      <c r="N177" s="13"/>
      <c r="O177" s="57"/>
      <c r="P177" s="104"/>
      <c r="Q177" s="529"/>
      <c r="R177" s="95"/>
      <c r="S177" s="95"/>
      <c r="T177" s="57"/>
      <c r="U177" s="105"/>
      <c r="V177" s="529"/>
      <c r="W177" s="95"/>
      <c r="X177" s="13"/>
      <c r="Y177" s="57"/>
      <c r="Z177" s="105"/>
      <c r="AA177" s="529"/>
      <c r="AB177" s="208"/>
      <c r="AC177" s="13"/>
      <c r="AD177" s="57"/>
      <c r="AE177" s="105"/>
      <c r="AF177" s="644"/>
      <c r="AG177" s="198"/>
      <c r="AH177" s="199"/>
      <c r="AI177" s="200"/>
      <c r="AJ177" s="197"/>
      <c r="AK177" s="91"/>
      <c r="AL177"/>
      <c r="AM177"/>
      <c r="AN177"/>
      <c r="AO177"/>
      <c r="AP177"/>
      <c r="AQ177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4"/>
      <c r="BN177" s="224"/>
      <c r="BO177" s="224"/>
      <c r="BP177" s="224"/>
      <c r="BQ177" s="224"/>
      <c r="BR177" s="224"/>
      <c r="BS177" s="224"/>
      <c r="BT177" s="224"/>
      <c r="BU177" s="224"/>
      <c r="BV177" s="224"/>
      <c r="BW177" s="224"/>
      <c r="BX177" s="224"/>
      <c r="BY177" s="224"/>
      <c r="BZ177" s="224"/>
      <c r="CA177" s="224"/>
      <c r="CB177" s="224"/>
      <c r="CC177" s="224"/>
      <c r="CD177" s="224"/>
      <c r="CE177" s="224"/>
      <c r="CF177" s="224"/>
      <c r="CG177" s="224"/>
      <c r="CH177" s="224"/>
    </row>
    <row r="178" spans="1:86" s="1" customFormat="1" ht="18" hidden="1" customHeight="1">
      <c r="A178" s="515"/>
      <c r="B178" s="644"/>
      <c r="C178" s="194"/>
      <c r="D178" s="195"/>
      <c r="E178" s="196"/>
      <c r="F178" s="197"/>
      <c r="G178" s="529"/>
      <c r="H178" s="95"/>
      <c r="I178" s="13"/>
      <c r="J178" s="57"/>
      <c r="K178" s="105"/>
      <c r="L178" s="529"/>
      <c r="M178" s="95"/>
      <c r="N178" s="13"/>
      <c r="O178" s="57"/>
      <c r="P178" s="104"/>
      <c r="Q178" s="529"/>
      <c r="R178" s="95"/>
      <c r="S178" s="95"/>
      <c r="T178" s="57"/>
      <c r="U178" s="105"/>
      <c r="V178" s="529"/>
      <c r="W178" s="95"/>
      <c r="X178" s="13"/>
      <c r="Y178" s="57"/>
      <c r="Z178" s="105"/>
      <c r="AA178" s="529"/>
      <c r="AB178" s="208"/>
      <c r="AC178" s="13"/>
      <c r="AD178" s="57"/>
      <c r="AE178" s="105"/>
      <c r="AF178" s="644"/>
      <c r="AG178" s="198"/>
      <c r="AH178" s="199"/>
      <c r="AI178" s="200"/>
      <c r="AJ178" s="197"/>
      <c r="AK178" s="91"/>
      <c r="AL178"/>
      <c r="AM178"/>
      <c r="AN178"/>
      <c r="AO178"/>
      <c r="AP178"/>
      <c r="AQ178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</row>
    <row r="179" spans="1:86" s="1" customFormat="1" ht="18" hidden="1" customHeight="1">
      <c r="A179" s="515"/>
      <c r="B179" s="644"/>
      <c r="C179" s="194"/>
      <c r="D179" s="195"/>
      <c r="E179" s="196"/>
      <c r="F179" s="197"/>
      <c r="G179" s="529"/>
      <c r="H179" s="95"/>
      <c r="I179" s="13"/>
      <c r="J179" s="57"/>
      <c r="K179" s="105"/>
      <c r="L179" s="529"/>
      <c r="M179" s="95"/>
      <c r="N179" s="13"/>
      <c r="O179" s="57"/>
      <c r="P179" s="104"/>
      <c r="Q179" s="529"/>
      <c r="R179" s="95"/>
      <c r="S179" s="95"/>
      <c r="T179" s="57"/>
      <c r="U179" s="105"/>
      <c r="V179" s="529"/>
      <c r="W179" s="95"/>
      <c r="X179" s="13"/>
      <c r="Y179" s="57"/>
      <c r="Z179" s="105"/>
      <c r="AA179" s="529"/>
      <c r="AB179" s="208"/>
      <c r="AC179" s="13"/>
      <c r="AD179" s="57"/>
      <c r="AE179" s="105"/>
      <c r="AF179" s="644"/>
      <c r="AG179" s="198"/>
      <c r="AH179" s="199"/>
      <c r="AI179" s="200"/>
      <c r="AJ179" s="197"/>
      <c r="AK179" s="91"/>
      <c r="AL179"/>
      <c r="AM179"/>
      <c r="AN179"/>
      <c r="AO179"/>
      <c r="AP179"/>
      <c r="AQ179"/>
      <c r="AR179" s="224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4"/>
      <c r="BN179" s="224"/>
      <c r="BO179" s="224"/>
      <c r="BP179" s="224"/>
      <c r="BQ179" s="224"/>
      <c r="BR179" s="224"/>
      <c r="BS179" s="224"/>
      <c r="BT179" s="224"/>
      <c r="BU179" s="224"/>
      <c r="BV179" s="224"/>
      <c r="BW179" s="224"/>
      <c r="BX179" s="224"/>
      <c r="BY179" s="224"/>
      <c r="BZ179" s="224"/>
      <c r="CA179" s="224"/>
      <c r="CB179" s="224"/>
      <c r="CC179" s="224"/>
      <c r="CD179" s="224"/>
      <c r="CE179" s="224"/>
      <c r="CF179" s="224"/>
      <c r="CG179" s="224"/>
      <c r="CH179" s="224"/>
    </row>
    <row r="180" spans="1:86" s="1" customFormat="1" ht="18" hidden="1" customHeight="1">
      <c r="A180" s="515"/>
      <c r="B180" s="644"/>
      <c r="C180" s="194"/>
      <c r="D180" s="195"/>
      <c r="E180" s="196"/>
      <c r="F180" s="197"/>
      <c r="G180" s="529"/>
      <c r="H180" s="95"/>
      <c r="I180" s="13"/>
      <c r="J180" s="57"/>
      <c r="K180" s="105"/>
      <c r="L180" s="529"/>
      <c r="M180" s="95"/>
      <c r="N180" s="13"/>
      <c r="O180" s="57"/>
      <c r="P180" s="104"/>
      <c r="Q180" s="529"/>
      <c r="R180" s="95"/>
      <c r="S180" s="95"/>
      <c r="T180" s="57"/>
      <c r="U180" s="105"/>
      <c r="V180" s="529"/>
      <c r="W180" s="95"/>
      <c r="X180" s="13"/>
      <c r="Y180" s="57"/>
      <c r="Z180" s="105"/>
      <c r="AA180" s="529"/>
      <c r="AB180" s="208"/>
      <c r="AC180" s="13"/>
      <c r="AD180" s="57"/>
      <c r="AE180" s="105"/>
      <c r="AF180" s="644"/>
      <c r="AG180" s="198"/>
      <c r="AH180" s="199"/>
      <c r="AI180" s="200"/>
      <c r="AJ180" s="197"/>
      <c r="AK180" s="91"/>
      <c r="AL180"/>
      <c r="AM180"/>
      <c r="AN180"/>
      <c r="AO180"/>
      <c r="AP180"/>
      <c r="AQ180"/>
      <c r="AR180" s="224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4"/>
      <c r="BC180" s="224"/>
      <c r="BD180" s="224"/>
      <c r="BE180" s="224"/>
      <c r="BF180" s="224"/>
      <c r="BG180" s="224"/>
      <c r="BH180" s="224"/>
      <c r="BI180" s="224"/>
      <c r="BJ180" s="224"/>
      <c r="BK180" s="224"/>
      <c r="BL180" s="224"/>
      <c r="BM180" s="224"/>
      <c r="BN180" s="224"/>
      <c r="BO180" s="224"/>
      <c r="BP180" s="224"/>
      <c r="BQ180" s="224"/>
      <c r="BR180" s="224"/>
      <c r="BS180" s="224"/>
      <c r="BT180" s="224"/>
      <c r="BU180" s="224"/>
      <c r="BV180" s="224"/>
      <c r="BW180" s="224"/>
      <c r="BX180" s="224"/>
      <c r="BY180" s="224"/>
      <c r="BZ180" s="224"/>
      <c r="CA180" s="224"/>
      <c r="CB180" s="224"/>
      <c r="CC180" s="224"/>
      <c r="CD180" s="224"/>
      <c r="CE180" s="224"/>
      <c r="CF180" s="224"/>
      <c r="CG180" s="224"/>
      <c r="CH180" s="224"/>
    </row>
    <row r="181" spans="1:86" s="1" customFormat="1" ht="18" hidden="1" customHeight="1">
      <c r="A181" s="515"/>
      <c r="B181" s="644"/>
      <c r="C181" s="194"/>
      <c r="D181" s="195"/>
      <c r="E181" s="196"/>
      <c r="F181" s="197"/>
      <c r="G181" s="529"/>
      <c r="H181" s="95"/>
      <c r="I181" s="13"/>
      <c r="J181" s="57"/>
      <c r="K181" s="105"/>
      <c r="L181" s="529"/>
      <c r="M181" s="95"/>
      <c r="N181" s="13"/>
      <c r="O181" s="57"/>
      <c r="P181" s="104"/>
      <c r="Q181" s="529"/>
      <c r="R181" s="95"/>
      <c r="S181" s="95"/>
      <c r="T181" s="57"/>
      <c r="U181" s="105"/>
      <c r="V181" s="529"/>
      <c r="W181" s="95"/>
      <c r="X181" s="13"/>
      <c r="Y181" s="57"/>
      <c r="Z181" s="105"/>
      <c r="AA181" s="529"/>
      <c r="AB181" s="208"/>
      <c r="AC181" s="13"/>
      <c r="AD181" s="57"/>
      <c r="AE181" s="105"/>
      <c r="AF181" s="644"/>
      <c r="AG181" s="198"/>
      <c r="AH181" s="199"/>
      <c r="AI181" s="200"/>
      <c r="AJ181" s="197"/>
      <c r="AK181" s="91"/>
      <c r="AL181"/>
      <c r="AM181"/>
      <c r="AN181"/>
      <c r="AO181"/>
      <c r="AP181"/>
      <c r="AQ181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  <c r="BQ181" s="224"/>
      <c r="BR181" s="224"/>
      <c r="BS181" s="224"/>
      <c r="BT181" s="224"/>
      <c r="BU181" s="224"/>
      <c r="BV181" s="224"/>
      <c r="BW181" s="224"/>
      <c r="BX181" s="224"/>
      <c r="BY181" s="224"/>
      <c r="BZ181" s="224"/>
      <c r="CA181" s="224"/>
      <c r="CB181" s="224"/>
      <c r="CC181" s="224"/>
      <c r="CD181" s="224"/>
      <c r="CE181" s="224"/>
      <c r="CF181" s="224"/>
      <c r="CG181" s="224"/>
      <c r="CH181" s="224"/>
    </row>
    <row r="182" spans="1:86" s="1" customFormat="1" ht="18" hidden="1" customHeight="1">
      <c r="A182" s="515"/>
      <c r="B182" s="644"/>
      <c r="C182" s="194"/>
      <c r="D182" s="195"/>
      <c r="E182" s="196"/>
      <c r="F182" s="197"/>
      <c r="G182" s="529"/>
      <c r="H182" s="95"/>
      <c r="I182" s="13"/>
      <c r="J182" s="57"/>
      <c r="K182" s="105"/>
      <c r="L182" s="529"/>
      <c r="M182" s="95"/>
      <c r="N182" s="13"/>
      <c r="O182" s="57"/>
      <c r="P182" s="104"/>
      <c r="Q182" s="529"/>
      <c r="R182" s="95"/>
      <c r="S182" s="95"/>
      <c r="T182" s="57"/>
      <c r="U182" s="105"/>
      <c r="V182" s="529"/>
      <c r="W182" s="95"/>
      <c r="X182" s="13"/>
      <c r="Y182" s="57"/>
      <c r="Z182" s="105"/>
      <c r="AA182" s="529"/>
      <c r="AB182" s="208"/>
      <c r="AC182" s="13"/>
      <c r="AD182" s="57"/>
      <c r="AE182" s="105"/>
      <c r="AF182" s="644"/>
      <c r="AG182" s="198"/>
      <c r="AH182" s="199"/>
      <c r="AI182" s="200"/>
      <c r="AJ182" s="197"/>
      <c r="AK182" s="91"/>
      <c r="AL182"/>
      <c r="AM182"/>
      <c r="AN182"/>
      <c r="AO182"/>
      <c r="AP182"/>
      <c r="AQ182"/>
      <c r="AR182" s="224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  <c r="BP182" s="224"/>
      <c r="BQ182" s="224"/>
      <c r="BR182" s="224"/>
      <c r="BS182" s="224"/>
      <c r="BT182" s="224"/>
      <c r="BU182" s="224"/>
      <c r="BV182" s="224"/>
      <c r="BW182" s="224"/>
      <c r="BX182" s="224"/>
      <c r="BY182" s="224"/>
      <c r="BZ182" s="224"/>
      <c r="CA182" s="224"/>
      <c r="CB182" s="224"/>
      <c r="CC182" s="224"/>
      <c r="CD182" s="224"/>
      <c r="CE182" s="224"/>
      <c r="CF182" s="224"/>
      <c r="CG182" s="224"/>
      <c r="CH182" s="224"/>
    </row>
    <row r="183" spans="1:86" s="1" customFormat="1" ht="18" hidden="1" customHeight="1">
      <c r="A183" s="593"/>
      <c r="B183" s="645"/>
      <c r="C183" s="201"/>
      <c r="D183" s="202"/>
      <c r="E183" s="203"/>
      <c r="F183" s="204"/>
      <c r="G183" s="530"/>
      <c r="H183" s="95"/>
      <c r="I183" s="13"/>
      <c r="J183" s="57"/>
      <c r="K183" s="107"/>
      <c r="L183" s="530"/>
      <c r="M183" s="95"/>
      <c r="N183" s="13"/>
      <c r="O183" s="57"/>
      <c r="P183" s="106"/>
      <c r="Q183" s="530"/>
      <c r="R183" s="95"/>
      <c r="S183" s="95"/>
      <c r="T183" s="57"/>
      <c r="U183" s="107"/>
      <c r="V183" s="530"/>
      <c r="W183" s="95"/>
      <c r="X183" s="13"/>
      <c r="Y183" s="57"/>
      <c r="Z183" s="107"/>
      <c r="AA183" s="530"/>
      <c r="AB183" s="208"/>
      <c r="AC183" s="13"/>
      <c r="AD183" s="57"/>
      <c r="AE183" s="105"/>
      <c r="AF183" s="645"/>
      <c r="AG183" s="205"/>
      <c r="AH183" s="206"/>
      <c r="AI183" s="207"/>
      <c r="AJ183" s="204"/>
      <c r="AK183" s="91"/>
      <c r="AL183"/>
      <c r="AM183"/>
      <c r="AN183"/>
      <c r="AO183"/>
      <c r="AP183"/>
      <c r="AQ183"/>
      <c r="AR183" s="224"/>
      <c r="AS183" s="224"/>
      <c r="AT183" s="224"/>
      <c r="AU183" s="224"/>
      <c r="AV183" s="224"/>
      <c r="AW183" s="224"/>
      <c r="AX183" s="224"/>
      <c r="AY183" s="224"/>
      <c r="AZ183" s="224"/>
      <c r="BA183" s="224"/>
      <c r="BB183" s="224"/>
      <c r="BC183" s="224"/>
      <c r="BD183" s="224"/>
      <c r="BE183" s="224"/>
      <c r="BF183" s="224"/>
      <c r="BG183" s="224"/>
      <c r="BH183" s="224"/>
      <c r="BI183" s="224"/>
      <c r="BJ183" s="224"/>
      <c r="BK183" s="224"/>
      <c r="BL183" s="224"/>
      <c r="BM183" s="224"/>
      <c r="BN183" s="224"/>
      <c r="BO183" s="224"/>
      <c r="BP183" s="224"/>
      <c r="BQ183" s="224"/>
      <c r="BR183" s="224"/>
      <c r="BS183" s="224"/>
      <c r="BT183" s="224"/>
      <c r="BU183" s="224"/>
      <c r="BV183" s="224"/>
      <c r="BW183" s="224"/>
      <c r="BX183" s="224"/>
      <c r="BY183" s="224"/>
      <c r="BZ183" s="224"/>
      <c r="CA183" s="224"/>
      <c r="CB183" s="224"/>
      <c r="CC183" s="224"/>
      <c r="CD183" s="224"/>
      <c r="CE183" s="224"/>
      <c r="CF183" s="224"/>
      <c r="CG183" s="224"/>
      <c r="CH183" s="224"/>
    </row>
    <row r="184" spans="1:86" s="1" customFormat="1" ht="18" customHeight="1">
      <c r="A184" s="613" t="s">
        <v>34</v>
      </c>
      <c r="B184" s="643"/>
      <c r="C184" s="187"/>
      <c r="D184" s="188"/>
      <c r="E184" s="189"/>
      <c r="F184" s="213"/>
      <c r="G184" s="616" t="s">
        <v>86</v>
      </c>
      <c r="H184" s="93" t="s">
        <v>87</v>
      </c>
      <c r="I184" s="9"/>
      <c r="J184" s="56">
        <f>ROUND(65*J$2/1000,0)</f>
        <v>124</v>
      </c>
      <c r="K184" s="34" t="s">
        <v>5</v>
      </c>
      <c r="L184" s="616" t="s">
        <v>86</v>
      </c>
      <c r="M184" s="93" t="s">
        <v>87</v>
      </c>
      <c r="N184" s="9"/>
      <c r="O184" s="56">
        <f>ROUND(65*O$2/1000,0)</f>
        <v>114</v>
      </c>
      <c r="P184" s="34" t="s">
        <v>5</v>
      </c>
      <c r="Q184" s="616" t="s">
        <v>86</v>
      </c>
      <c r="R184" s="93" t="s">
        <v>87</v>
      </c>
      <c r="S184" s="9"/>
      <c r="T184" s="56">
        <f>ROUND(65*T$2/1000,0)</f>
        <v>114</v>
      </c>
      <c r="U184" s="34" t="s">
        <v>5</v>
      </c>
      <c r="V184" s="616" t="s">
        <v>86</v>
      </c>
      <c r="W184" s="93" t="s">
        <v>87</v>
      </c>
      <c r="X184" s="9"/>
      <c r="Y184" s="56">
        <f>ROUND(65*Y$2/1000,0)</f>
        <v>113</v>
      </c>
      <c r="Z184" s="34" t="s">
        <v>5</v>
      </c>
      <c r="AA184" s="616" t="s">
        <v>86</v>
      </c>
      <c r="AB184" s="93" t="s">
        <v>87</v>
      </c>
      <c r="AC184" s="9"/>
      <c r="AD184" s="56">
        <f>ROUND(65*AD$2/1000,0)</f>
        <v>113</v>
      </c>
      <c r="AE184" s="34" t="s">
        <v>5</v>
      </c>
      <c r="AF184" s="643"/>
      <c r="AG184" s="191"/>
      <c r="AH184" s="192"/>
      <c r="AI184" s="193"/>
      <c r="AJ184" s="213"/>
      <c r="AK184" s="91"/>
      <c r="AL184"/>
      <c r="AM184"/>
      <c r="AN184"/>
      <c r="AO184"/>
      <c r="AP184"/>
      <c r="AQ184"/>
      <c r="AR184" s="22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  <c r="BP184" s="224"/>
      <c r="BQ184" s="224"/>
      <c r="BR184" s="224"/>
      <c r="BS184" s="224"/>
      <c r="BT184" s="224"/>
      <c r="BU184" s="224"/>
      <c r="BV184" s="224"/>
      <c r="BW184" s="224"/>
      <c r="BX184" s="224"/>
      <c r="BY184" s="224"/>
      <c r="BZ184" s="224"/>
      <c r="CA184" s="224"/>
      <c r="CB184" s="224"/>
      <c r="CC184" s="224"/>
      <c r="CD184" s="224"/>
      <c r="CE184" s="224"/>
      <c r="CF184" s="224"/>
      <c r="CG184" s="224"/>
      <c r="CH184" s="224"/>
    </row>
    <row r="185" spans="1:86" s="1" customFormat="1" ht="18" customHeight="1">
      <c r="A185" s="614"/>
      <c r="B185" s="644"/>
      <c r="C185" s="194"/>
      <c r="D185" s="195"/>
      <c r="E185" s="196"/>
      <c r="F185" s="214"/>
      <c r="G185" s="617"/>
      <c r="H185" s="97" t="s">
        <v>112</v>
      </c>
      <c r="I185" s="13" t="s">
        <v>113</v>
      </c>
      <c r="J185" s="57">
        <v>2</v>
      </c>
      <c r="K185" s="58" t="s">
        <v>5</v>
      </c>
      <c r="L185" s="617"/>
      <c r="M185" s="97" t="s">
        <v>112</v>
      </c>
      <c r="N185" s="13" t="s">
        <v>113</v>
      </c>
      <c r="O185" s="57">
        <v>2</v>
      </c>
      <c r="P185" s="58" t="s">
        <v>5</v>
      </c>
      <c r="Q185" s="617"/>
      <c r="R185" s="97" t="s">
        <v>112</v>
      </c>
      <c r="S185" s="13" t="s">
        <v>113</v>
      </c>
      <c r="T185" s="57">
        <v>2</v>
      </c>
      <c r="U185" s="58" t="s">
        <v>5</v>
      </c>
      <c r="V185" s="617"/>
      <c r="W185" s="97" t="s">
        <v>112</v>
      </c>
      <c r="X185" s="13" t="s">
        <v>113</v>
      </c>
      <c r="Y185" s="57">
        <v>2</v>
      </c>
      <c r="Z185" s="58" t="s">
        <v>5</v>
      </c>
      <c r="AA185" s="617"/>
      <c r="AB185" s="97" t="s">
        <v>112</v>
      </c>
      <c r="AC185" s="13" t="s">
        <v>113</v>
      </c>
      <c r="AD185" s="57">
        <v>2</v>
      </c>
      <c r="AE185" s="58" t="s">
        <v>5</v>
      </c>
      <c r="AF185" s="644"/>
      <c r="AG185" s="198"/>
      <c r="AH185" s="199"/>
      <c r="AI185" s="200"/>
      <c r="AJ185" s="214"/>
      <c r="AK185" s="91"/>
      <c r="AL185"/>
      <c r="AM185"/>
      <c r="AN185"/>
      <c r="AO185"/>
      <c r="AP185"/>
      <c r="AQ185"/>
      <c r="AR185" s="224"/>
      <c r="AS185" s="224"/>
      <c r="AT185" s="224"/>
      <c r="AU185" s="224"/>
      <c r="AV185" s="224"/>
      <c r="AW185" s="224"/>
      <c r="AX185" s="224"/>
      <c r="AY185" s="224"/>
      <c r="AZ185" s="224"/>
      <c r="BA185" s="224"/>
      <c r="BB185" s="224"/>
      <c r="BC185" s="224"/>
      <c r="BD185" s="224"/>
      <c r="BE185" s="224"/>
      <c r="BF185" s="224"/>
      <c r="BG185" s="224"/>
      <c r="BH185" s="224"/>
      <c r="BI185" s="224"/>
      <c r="BJ185" s="224"/>
      <c r="BK185" s="224"/>
      <c r="BL185" s="224"/>
      <c r="BM185" s="224"/>
      <c r="BN185" s="224"/>
      <c r="BO185" s="224"/>
      <c r="BP185" s="224"/>
      <c r="BQ185" s="224"/>
      <c r="BR185" s="224"/>
      <c r="BS185" s="224"/>
      <c r="BT185" s="224"/>
      <c r="BU185" s="224"/>
      <c r="BV185" s="224"/>
      <c r="BW185" s="224"/>
      <c r="BX185" s="224"/>
      <c r="BY185" s="224"/>
      <c r="BZ185" s="224"/>
      <c r="CA185" s="224"/>
      <c r="CB185" s="224"/>
      <c r="CC185" s="224"/>
      <c r="CD185" s="224"/>
      <c r="CE185" s="224"/>
      <c r="CF185" s="224"/>
      <c r="CG185" s="224"/>
      <c r="CH185" s="224"/>
    </row>
    <row r="186" spans="1:86" s="1" customFormat="1" ht="18" customHeight="1">
      <c r="A186" s="614"/>
      <c r="B186" s="644"/>
      <c r="C186" s="194"/>
      <c r="D186" s="195"/>
      <c r="E186" s="196"/>
      <c r="F186" s="214"/>
      <c r="G186" s="617"/>
      <c r="H186" s="97" t="s">
        <v>93</v>
      </c>
      <c r="I186" s="13"/>
      <c r="J186" s="57">
        <v>5</v>
      </c>
      <c r="K186" s="58" t="s">
        <v>5</v>
      </c>
      <c r="L186" s="617"/>
      <c r="M186" s="97" t="s">
        <v>93</v>
      </c>
      <c r="N186" s="13"/>
      <c r="O186" s="57">
        <v>5</v>
      </c>
      <c r="P186" s="58" t="s">
        <v>5</v>
      </c>
      <c r="Q186" s="617"/>
      <c r="R186" s="97" t="s">
        <v>93</v>
      </c>
      <c r="S186" s="13"/>
      <c r="T186" s="57">
        <v>5</v>
      </c>
      <c r="U186" s="58" t="s">
        <v>5</v>
      </c>
      <c r="V186" s="617"/>
      <c r="W186" s="97" t="s">
        <v>93</v>
      </c>
      <c r="X186" s="13"/>
      <c r="Y186" s="57">
        <v>5</v>
      </c>
      <c r="Z186" s="58" t="s">
        <v>5</v>
      </c>
      <c r="AA186" s="617"/>
      <c r="AB186" s="97" t="s">
        <v>93</v>
      </c>
      <c r="AC186" s="13"/>
      <c r="AD186" s="57">
        <v>5</v>
      </c>
      <c r="AE186" s="58" t="s">
        <v>5</v>
      </c>
      <c r="AF186" s="644"/>
      <c r="AG186" s="198"/>
      <c r="AH186" s="199"/>
      <c r="AI186" s="200"/>
      <c r="AJ186" s="214"/>
      <c r="AK186" s="91"/>
      <c r="AL186"/>
      <c r="AM186"/>
      <c r="AN186"/>
      <c r="AO186"/>
      <c r="AP186"/>
      <c r="AQ186"/>
      <c r="AR186" s="224"/>
      <c r="AS186" s="224"/>
      <c r="AT186" s="224"/>
      <c r="AU186" s="224"/>
      <c r="AV186" s="224"/>
      <c r="AW186" s="224"/>
      <c r="AX186" s="224"/>
      <c r="AY186" s="224"/>
      <c r="AZ186" s="224"/>
      <c r="BA186" s="224"/>
      <c r="BB186" s="224"/>
      <c r="BC186" s="224"/>
      <c r="BD186" s="224"/>
      <c r="BE186" s="224"/>
      <c r="BF186" s="224"/>
      <c r="BG186" s="224"/>
      <c r="BH186" s="224"/>
      <c r="BI186" s="224"/>
      <c r="BJ186" s="224"/>
      <c r="BK186" s="224"/>
      <c r="BL186" s="224"/>
      <c r="BM186" s="224"/>
      <c r="BN186" s="224"/>
      <c r="BO186" s="224"/>
      <c r="BP186" s="224"/>
      <c r="BQ186" s="224"/>
      <c r="BR186" s="224"/>
      <c r="BS186" s="224"/>
      <c r="BT186" s="224"/>
      <c r="BU186" s="224"/>
      <c r="BV186" s="224"/>
      <c r="BW186" s="224"/>
      <c r="BX186" s="224"/>
      <c r="BY186" s="224"/>
      <c r="BZ186" s="224"/>
      <c r="CA186" s="224"/>
      <c r="CB186" s="224"/>
      <c r="CC186" s="224"/>
      <c r="CD186" s="224"/>
      <c r="CE186" s="224"/>
      <c r="CF186" s="224"/>
      <c r="CG186" s="224"/>
      <c r="CH186" s="224"/>
    </row>
    <row r="187" spans="1:86" s="1" customFormat="1" ht="18" customHeight="1">
      <c r="A187" s="614"/>
      <c r="B187" s="644"/>
      <c r="C187" s="194"/>
      <c r="D187" s="195"/>
      <c r="E187" s="196"/>
      <c r="F187" s="214"/>
      <c r="G187" s="617"/>
      <c r="H187" s="97" t="s">
        <v>114</v>
      </c>
      <c r="I187" s="13" t="s">
        <v>115</v>
      </c>
      <c r="J187" s="57">
        <v>3</v>
      </c>
      <c r="K187" s="58" t="s">
        <v>5</v>
      </c>
      <c r="L187" s="617"/>
      <c r="M187" s="97" t="s">
        <v>114</v>
      </c>
      <c r="N187" s="13" t="s">
        <v>115</v>
      </c>
      <c r="O187" s="57">
        <v>3</v>
      </c>
      <c r="P187" s="58" t="s">
        <v>5</v>
      </c>
      <c r="Q187" s="617"/>
      <c r="R187" s="97" t="s">
        <v>114</v>
      </c>
      <c r="S187" s="13" t="s">
        <v>115</v>
      </c>
      <c r="T187" s="57">
        <v>3</v>
      </c>
      <c r="U187" s="58" t="s">
        <v>5</v>
      </c>
      <c r="V187" s="617"/>
      <c r="W187" s="97" t="s">
        <v>114</v>
      </c>
      <c r="X187" s="13" t="s">
        <v>115</v>
      </c>
      <c r="Y187" s="57">
        <v>3</v>
      </c>
      <c r="Z187" s="58" t="s">
        <v>5</v>
      </c>
      <c r="AA187" s="617"/>
      <c r="AB187" s="97" t="s">
        <v>114</v>
      </c>
      <c r="AC187" s="13" t="s">
        <v>115</v>
      </c>
      <c r="AD187" s="57">
        <v>3</v>
      </c>
      <c r="AE187" s="58" t="s">
        <v>5</v>
      </c>
      <c r="AF187" s="644"/>
      <c r="AG187" s="198"/>
      <c r="AH187" s="199"/>
      <c r="AI187" s="200"/>
      <c r="AJ187" s="214"/>
      <c r="AK187" s="91"/>
      <c r="AL187"/>
      <c r="AM187"/>
      <c r="AN187"/>
      <c r="AO187"/>
      <c r="AP187"/>
      <c r="AQ187"/>
      <c r="AR187" s="224"/>
      <c r="AS187" s="224"/>
      <c r="AT187" s="224"/>
      <c r="AU187" s="224"/>
      <c r="AV187" s="224"/>
      <c r="AW187" s="224"/>
      <c r="AX187" s="224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24"/>
      <c r="BM187" s="224"/>
      <c r="BN187" s="224"/>
      <c r="BO187" s="224"/>
      <c r="BP187" s="224"/>
      <c r="BQ187" s="224"/>
      <c r="BR187" s="224"/>
      <c r="BS187" s="224"/>
      <c r="BT187" s="224"/>
      <c r="BU187" s="224"/>
      <c r="BV187" s="224"/>
      <c r="BW187" s="224"/>
      <c r="BX187" s="224"/>
      <c r="BY187" s="224"/>
      <c r="BZ187" s="224"/>
      <c r="CA187" s="224"/>
      <c r="CB187" s="224"/>
      <c r="CC187" s="224"/>
      <c r="CD187" s="224"/>
      <c r="CE187" s="224"/>
      <c r="CF187" s="224"/>
      <c r="CG187" s="224"/>
      <c r="CH187" s="224"/>
    </row>
    <row r="188" spans="1:86" s="1" customFormat="1" ht="17.25" customHeight="1">
      <c r="A188" s="614"/>
      <c r="B188" s="644"/>
      <c r="C188" s="194"/>
      <c r="D188" s="195"/>
      <c r="E188" s="196"/>
      <c r="F188" s="214"/>
      <c r="G188" s="617"/>
      <c r="H188" s="97"/>
      <c r="I188" s="13"/>
      <c r="J188" s="57"/>
      <c r="K188" s="58"/>
      <c r="L188" s="617"/>
      <c r="M188" s="97"/>
      <c r="N188" s="13"/>
      <c r="O188" s="57"/>
      <c r="P188" s="58"/>
      <c r="Q188" s="617"/>
      <c r="R188" s="97"/>
      <c r="S188" s="13"/>
      <c r="T188" s="57"/>
      <c r="U188" s="58"/>
      <c r="V188" s="617"/>
      <c r="W188" s="97"/>
      <c r="X188" s="13"/>
      <c r="Y188" s="57"/>
      <c r="Z188" s="58"/>
      <c r="AA188" s="617"/>
      <c r="AB188" s="97"/>
      <c r="AC188" s="13"/>
      <c r="AD188" s="57"/>
      <c r="AE188" s="58"/>
      <c r="AF188" s="644"/>
      <c r="AG188" s="198"/>
      <c r="AH188" s="199"/>
      <c r="AI188" s="200"/>
      <c r="AJ188" s="214"/>
      <c r="AK188" s="91"/>
      <c r="AL188"/>
      <c r="AM188"/>
      <c r="AN188"/>
      <c r="AO188"/>
      <c r="AP188"/>
      <c r="AQ188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4"/>
      <c r="BN188" s="224"/>
      <c r="BO188" s="224"/>
      <c r="BP188" s="224"/>
      <c r="BQ188" s="224"/>
      <c r="BR188" s="224"/>
      <c r="BS188" s="224"/>
      <c r="BT188" s="224"/>
      <c r="BU188" s="224"/>
      <c r="BV188" s="224"/>
      <c r="BW188" s="224"/>
      <c r="BX188" s="224"/>
      <c r="BY188" s="224"/>
      <c r="BZ188" s="224"/>
      <c r="CA188" s="224"/>
      <c r="CB188" s="224"/>
      <c r="CC188" s="224"/>
      <c r="CD188" s="224"/>
      <c r="CE188" s="224"/>
      <c r="CF188" s="224"/>
      <c r="CG188" s="224"/>
      <c r="CH188" s="224"/>
    </row>
    <row r="189" spans="1:86" s="1" customFormat="1" ht="18" customHeight="1">
      <c r="A189" s="614"/>
      <c r="B189" s="644"/>
      <c r="C189" s="194"/>
      <c r="D189" s="195"/>
      <c r="E189" s="196"/>
      <c r="F189" s="197"/>
      <c r="G189" s="617"/>
      <c r="H189" s="97"/>
      <c r="I189" s="13"/>
      <c r="J189" s="57"/>
      <c r="K189" s="58"/>
      <c r="L189" s="617"/>
      <c r="M189" s="97"/>
      <c r="N189" s="13"/>
      <c r="O189" s="57"/>
      <c r="P189" s="58"/>
      <c r="Q189" s="617"/>
      <c r="R189" s="97"/>
      <c r="S189" s="13"/>
      <c r="T189" s="57"/>
      <c r="U189" s="58"/>
      <c r="V189" s="617"/>
      <c r="W189" s="97"/>
      <c r="X189" s="13"/>
      <c r="Y189" s="57"/>
      <c r="Z189" s="58"/>
      <c r="AA189" s="617"/>
      <c r="AB189" s="97"/>
      <c r="AC189" s="13"/>
      <c r="AD189" s="57"/>
      <c r="AE189" s="58"/>
      <c r="AF189" s="644"/>
      <c r="AG189" s="198"/>
      <c r="AH189" s="199"/>
      <c r="AI189" s="200"/>
      <c r="AJ189" s="197"/>
      <c r="AK189" s="91"/>
      <c r="AL189"/>
      <c r="AM189"/>
      <c r="AN189"/>
      <c r="AO189"/>
      <c r="AP189"/>
      <c r="AQ189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4"/>
      <c r="BN189" s="224"/>
      <c r="BO189" s="224"/>
      <c r="BP189" s="224"/>
      <c r="BQ189" s="224"/>
      <c r="BR189" s="224"/>
      <c r="BS189" s="224"/>
      <c r="BT189" s="224"/>
      <c r="BU189" s="224"/>
      <c r="BV189" s="224"/>
      <c r="BW189" s="224"/>
      <c r="BX189" s="224"/>
      <c r="BY189" s="224"/>
      <c r="BZ189" s="224"/>
      <c r="CA189" s="224"/>
      <c r="CB189" s="224"/>
      <c r="CC189" s="224"/>
      <c r="CD189" s="224"/>
      <c r="CE189" s="224"/>
      <c r="CF189" s="224"/>
      <c r="CG189" s="224"/>
      <c r="CH189" s="224"/>
    </row>
    <row r="190" spans="1:86" s="1" customFormat="1" ht="18" customHeight="1">
      <c r="A190" s="614"/>
      <c r="B190" s="644"/>
      <c r="C190" s="194"/>
      <c r="D190" s="195"/>
      <c r="E190" s="196"/>
      <c r="F190" s="197"/>
      <c r="G190" s="617"/>
      <c r="H190" s="97"/>
      <c r="I190" s="13"/>
      <c r="J190" s="57"/>
      <c r="K190" s="58"/>
      <c r="L190" s="617"/>
      <c r="M190" s="97"/>
      <c r="N190" s="13"/>
      <c r="O190" s="57"/>
      <c r="P190" s="58"/>
      <c r="Q190" s="617"/>
      <c r="R190" s="97"/>
      <c r="S190" s="13"/>
      <c r="T190" s="57"/>
      <c r="U190" s="58"/>
      <c r="V190" s="617"/>
      <c r="W190" s="97"/>
      <c r="X190" s="13"/>
      <c r="Y190" s="57"/>
      <c r="Z190" s="58"/>
      <c r="AA190" s="617"/>
      <c r="AB190" s="97"/>
      <c r="AC190" s="13"/>
      <c r="AD190" s="57"/>
      <c r="AE190" s="58"/>
      <c r="AF190" s="644"/>
      <c r="AG190" s="198"/>
      <c r="AH190" s="199"/>
      <c r="AI190" s="200"/>
      <c r="AJ190" s="197"/>
      <c r="AK190" s="91"/>
      <c r="AL190"/>
      <c r="AM190"/>
      <c r="AN190"/>
      <c r="AO190"/>
      <c r="AP190"/>
      <c r="AQ190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4"/>
      <c r="BN190" s="224"/>
      <c r="BO190" s="224"/>
      <c r="BP190" s="224"/>
      <c r="BQ190" s="224"/>
      <c r="BR190" s="224"/>
      <c r="BS190" s="224"/>
      <c r="BT190" s="224"/>
      <c r="BU190" s="224"/>
      <c r="BV190" s="224"/>
      <c r="BW190" s="224"/>
      <c r="BX190" s="224"/>
      <c r="BY190" s="224"/>
      <c r="BZ190" s="224"/>
      <c r="CA190" s="224"/>
      <c r="CB190" s="224"/>
      <c r="CC190" s="224"/>
      <c r="CD190" s="224"/>
      <c r="CE190" s="224"/>
      <c r="CF190" s="224"/>
      <c r="CG190" s="224"/>
      <c r="CH190" s="224"/>
    </row>
    <row r="191" spans="1:86" s="1" customFormat="1" ht="18" customHeight="1" thickBot="1">
      <c r="A191" s="614"/>
      <c r="B191" s="644"/>
      <c r="C191" s="194"/>
      <c r="D191" s="195"/>
      <c r="E191" s="196"/>
      <c r="F191" s="197"/>
      <c r="G191" s="617"/>
      <c r="H191" s="94"/>
      <c r="I191" s="14"/>
      <c r="J191" s="57"/>
      <c r="K191" s="58"/>
      <c r="L191" s="617"/>
      <c r="M191" s="94"/>
      <c r="N191" s="14"/>
      <c r="O191" s="57"/>
      <c r="P191" s="58"/>
      <c r="Q191" s="617"/>
      <c r="R191" s="94"/>
      <c r="S191" s="14"/>
      <c r="T191" s="57"/>
      <c r="U191" s="58"/>
      <c r="V191" s="617"/>
      <c r="W191" s="94"/>
      <c r="X191" s="14"/>
      <c r="Y191" s="57"/>
      <c r="Z191" s="58"/>
      <c r="AA191" s="617"/>
      <c r="AB191" s="94"/>
      <c r="AC191" s="14"/>
      <c r="AD191" s="57"/>
      <c r="AE191" s="58"/>
      <c r="AF191" s="644"/>
      <c r="AG191" s="198"/>
      <c r="AH191" s="199"/>
      <c r="AI191" s="200"/>
      <c r="AJ191" s="197"/>
      <c r="AK191" s="91"/>
      <c r="AL191"/>
      <c r="AM191"/>
      <c r="AN191"/>
      <c r="AO191"/>
      <c r="AP191"/>
      <c r="AQ191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4"/>
      <c r="BN191" s="224"/>
      <c r="BO191" s="224"/>
      <c r="BP191" s="224"/>
      <c r="BQ191" s="224"/>
      <c r="BR191" s="224"/>
      <c r="BS191" s="224"/>
      <c r="BT191" s="224"/>
      <c r="BU191" s="224"/>
      <c r="BV191" s="224"/>
      <c r="BW191" s="224"/>
      <c r="BX191" s="224"/>
      <c r="BY191" s="224"/>
      <c r="BZ191" s="224"/>
      <c r="CA191" s="224"/>
      <c r="CB191" s="224"/>
      <c r="CC191" s="224"/>
      <c r="CD191" s="224"/>
      <c r="CE191" s="224"/>
      <c r="CF191" s="224"/>
      <c r="CG191" s="224"/>
      <c r="CH191" s="224"/>
    </row>
    <row r="192" spans="1:86" s="1" customFormat="1" ht="18" hidden="1" customHeight="1" thickBot="1">
      <c r="A192" s="614"/>
      <c r="B192" s="644"/>
      <c r="C192" s="194"/>
      <c r="D192" s="195"/>
      <c r="E192" s="196"/>
      <c r="F192" s="197"/>
      <c r="G192" s="617"/>
      <c r="H192" s="112"/>
      <c r="I192" s="109"/>
      <c r="J192" s="111"/>
      <c r="K192" s="58" t="s">
        <v>5</v>
      </c>
      <c r="L192" s="617"/>
      <c r="M192" s="112"/>
      <c r="N192" s="109"/>
      <c r="O192" s="111"/>
      <c r="P192" s="58" t="s">
        <v>5</v>
      </c>
      <c r="Q192" s="617"/>
      <c r="R192" s="112"/>
      <c r="S192" s="109"/>
      <c r="T192" s="111"/>
      <c r="U192" s="58" t="s">
        <v>5</v>
      </c>
      <c r="V192" s="617"/>
      <c r="W192" s="112"/>
      <c r="X192" s="109"/>
      <c r="Y192" s="111"/>
      <c r="Z192" s="58" t="s">
        <v>5</v>
      </c>
      <c r="AA192" s="617"/>
      <c r="AB192" s="112"/>
      <c r="AC192" s="109"/>
      <c r="AD192" s="111"/>
      <c r="AE192" s="58" t="s">
        <v>5</v>
      </c>
      <c r="AF192" s="644"/>
      <c r="AG192" s="198"/>
      <c r="AH192" s="199"/>
      <c r="AI192" s="200"/>
      <c r="AJ192" s="197"/>
      <c r="AK192" s="91"/>
      <c r="AL192"/>
      <c r="AM192"/>
      <c r="AN192"/>
      <c r="AO192"/>
      <c r="AP192"/>
      <c r="AQ192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4"/>
      <c r="BN192" s="224"/>
      <c r="BO192" s="224"/>
      <c r="BP192" s="224"/>
      <c r="BQ192" s="224"/>
      <c r="BR192" s="224"/>
      <c r="BS192" s="224"/>
      <c r="BT192" s="224"/>
      <c r="BU192" s="224"/>
      <c r="BV192" s="224"/>
      <c r="BW192" s="224"/>
      <c r="BX192" s="224"/>
      <c r="BY192" s="224"/>
      <c r="BZ192" s="224"/>
      <c r="CA192" s="224"/>
      <c r="CB192" s="224"/>
      <c r="CC192" s="224"/>
      <c r="CD192" s="224"/>
      <c r="CE192" s="224"/>
      <c r="CF192" s="224"/>
      <c r="CG192" s="224"/>
      <c r="CH192" s="224"/>
    </row>
    <row r="193" spans="1:86" s="1" customFormat="1" ht="18" hidden="1" customHeight="1">
      <c r="A193" s="614"/>
      <c r="B193" s="644"/>
      <c r="C193" s="194"/>
      <c r="D193" s="195"/>
      <c r="E193" s="196"/>
      <c r="F193" s="197"/>
      <c r="G193" s="617"/>
      <c r="H193" s="112"/>
      <c r="I193" s="109"/>
      <c r="J193" s="111"/>
      <c r="K193" s="58"/>
      <c r="L193" s="617"/>
      <c r="M193" s="112"/>
      <c r="N193" s="109"/>
      <c r="O193" s="111"/>
      <c r="P193" s="58"/>
      <c r="Q193" s="617"/>
      <c r="R193" s="112"/>
      <c r="S193" s="109"/>
      <c r="T193" s="111"/>
      <c r="U193" s="58"/>
      <c r="V193" s="617"/>
      <c r="W193" s="112"/>
      <c r="X193" s="109"/>
      <c r="Y193" s="111"/>
      <c r="Z193" s="58"/>
      <c r="AA193" s="617"/>
      <c r="AB193" s="112"/>
      <c r="AC193" s="109"/>
      <c r="AD193" s="111"/>
      <c r="AE193" s="58"/>
      <c r="AF193" s="644"/>
      <c r="AG193" s="198"/>
      <c r="AH193" s="199"/>
      <c r="AI193" s="200"/>
      <c r="AJ193" s="197"/>
      <c r="AK193" s="91"/>
      <c r="AL193"/>
      <c r="AM193"/>
      <c r="AN193"/>
      <c r="AO193"/>
      <c r="AP193"/>
      <c r="AQ193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4"/>
      <c r="BN193" s="224"/>
      <c r="BO193" s="224"/>
      <c r="BP193" s="224"/>
      <c r="BQ193" s="224"/>
      <c r="BR193" s="224"/>
      <c r="BS193" s="224"/>
      <c r="BT193" s="224"/>
      <c r="BU193" s="224"/>
      <c r="BV193" s="224"/>
      <c r="BW193" s="224"/>
      <c r="BX193" s="224"/>
      <c r="BY193" s="224"/>
      <c r="BZ193" s="224"/>
      <c r="CA193" s="224"/>
      <c r="CB193" s="224"/>
      <c r="CC193" s="224"/>
      <c r="CD193" s="224"/>
      <c r="CE193" s="224"/>
      <c r="CF193" s="224"/>
      <c r="CG193" s="224"/>
      <c r="CH193" s="224"/>
    </row>
    <row r="194" spans="1:86" s="1" customFormat="1" ht="18" hidden="1" customHeight="1">
      <c r="A194" s="614"/>
      <c r="B194" s="644"/>
      <c r="C194" s="194"/>
      <c r="D194" s="195"/>
      <c r="E194" s="196"/>
      <c r="F194" s="197"/>
      <c r="G194" s="617"/>
      <c r="H194" s="112"/>
      <c r="I194" s="109"/>
      <c r="J194" s="111"/>
      <c r="K194" s="58"/>
      <c r="L194" s="617"/>
      <c r="M194" s="112"/>
      <c r="N194" s="109"/>
      <c r="O194" s="111"/>
      <c r="P194" s="58"/>
      <c r="Q194" s="617"/>
      <c r="R194" s="112"/>
      <c r="S194" s="109"/>
      <c r="T194" s="111"/>
      <c r="U194" s="58"/>
      <c r="V194" s="617"/>
      <c r="W194" s="112"/>
      <c r="X194" s="109"/>
      <c r="Y194" s="111"/>
      <c r="Z194" s="58"/>
      <c r="AA194" s="617"/>
      <c r="AB194" s="112"/>
      <c r="AC194" s="109"/>
      <c r="AD194" s="111"/>
      <c r="AE194" s="58"/>
      <c r="AF194" s="644"/>
      <c r="AG194" s="198"/>
      <c r="AH194" s="199"/>
      <c r="AI194" s="200"/>
      <c r="AJ194" s="197"/>
      <c r="AK194" s="91"/>
      <c r="AL194"/>
      <c r="AM194"/>
      <c r="AN194"/>
      <c r="AO194"/>
      <c r="AP194"/>
      <c r="AQ19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4"/>
      <c r="BN194" s="224"/>
      <c r="BO194" s="224"/>
      <c r="BP194" s="224"/>
      <c r="BQ194" s="224"/>
      <c r="BR194" s="224"/>
      <c r="BS194" s="224"/>
      <c r="BT194" s="224"/>
      <c r="BU194" s="224"/>
      <c r="BV194" s="224"/>
      <c r="BW194" s="224"/>
      <c r="BX194" s="224"/>
      <c r="BY194" s="224"/>
      <c r="BZ194" s="224"/>
      <c r="CA194" s="224"/>
      <c r="CB194" s="224"/>
      <c r="CC194" s="224"/>
      <c r="CD194" s="224"/>
      <c r="CE194" s="224"/>
      <c r="CF194" s="224"/>
      <c r="CG194" s="224"/>
      <c r="CH194" s="224"/>
    </row>
    <row r="195" spans="1:86" s="1" customFormat="1" ht="18" hidden="1" customHeight="1">
      <c r="A195" s="614"/>
      <c r="B195" s="644"/>
      <c r="C195" s="194"/>
      <c r="D195" s="195"/>
      <c r="E195" s="196"/>
      <c r="F195" s="197"/>
      <c r="G195" s="617"/>
      <c r="H195" s="112"/>
      <c r="I195" s="109"/>
      <c r="J195" s="111"/>
      <c r="K195" s="58"/>
      <c r="L195" s="617"/>
      <c r="M195" s="112"/>
      <c r="N195" s="109"/>
      <c r="O195" s="111"/>
      <c r="P195" s="58"/>
      <c r="Q195" s="617"/>
      <c r="R195" s="112"/>
      <c r="S195" s="109"/>
      <c r="T195" s="111"/>
      <c r="U195" s="58"/>
      <c r="V195" s="617"/>
      <c r="W195" s="112"/>
      <c r="X195" s="109"/>
      <c r="Y195" s="111"/>
      <c r="Z195" s="58"/>
      <c r="AA195" s="617"/>
      <c r="AB195" s="112"/>
      <c r="AC195" s="109"/>
      <c r="AD195" s="111"/>
      <c r="AE195" s="58"/>
      <c r="AF195" s="644"/>
      <c r="AG195" s="198"/>
      <c r="AH195" s="199"/>
      <c r="AI195" s="200"/>
      <c r="AJ195" s="197"/>
      <c r="AK195" s="91"/>
      <c r="AL195"/>
      <c r="AM195"/>
      <c r="AN195"/>
      <c r="AO195"/>
      <c r="AP195"/>
      <c r="AQ195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4"/>
      <c r="BN195" s="224"/>
      <c r="BO195" s="224"/>
      <c r="BP195" s="224"/>
      <c r="BQ195" s="224"/>
      <c r="BR195" s="224"/>
      <c r="BS195" s="224"/>
      <c r="BT195" s="224"/>
      <c r="BU195" s="224"/>
      <c r="BV195" s="224"/>
      <c r="BW195" s="224"/>
      <c r="BX195" s="224"/>
      <c r="BY195" s="224"/>
      <c r="BZ195" s="224"/>
      <c r="CA195" s="224"/>
      <c r="CB195" s="224"/>
      <c r="CC195" s="224"/>
      <c r="CD195" s="224"/>
      <c r="CE195" s="224"/>
      <c r="CF195" s="224"/>
      <c r="CG195" s="224"/>
      <c r="CH195" s="224"/>
    </row>
    <row r="196" spans="1:86" s="1" customFormat="1" ht="18" hidden="1" customHeight="1">
      <c r="A196" s="614"/>
      <c r="B196" s="644"/>
      <c r="C196" s="194"/>
      <c r="D196" s="195"/>
      <c r="E196" s="196"/>
      <c r="F196" s="197"/>
      <c r="G196" s="617"/>
      <c r="H196" s="112"/>
      <c r="I196" s="109"/>
      <c r="J196" s="111"/>
      <c r="K196" s="58"/>
      <c r="L196" s="617"/>
      <c r="M196" s="112"/>
      <c r="N196" s="109"/>
      <c r="O196" s="111"/>
      <c r="P196" s="58"/>
      <c r="Q196" s="617"/>
      <c r="R196" s="112"/>
      <c r="S196" s="109"/>
      <c r="T196" s="111"/>
      <c r="U196" s="58"/>
      <c r="V196" s="617"/>
      <c r="W196" s="112"/>
      <c r="X196" s="109"/>
      <c r="Y196" s="111"/>
      <c r="Z196" s="58"/>
      <c r="AA196" s="617"/>
      <c r="AB196" s="112"/>
      <c r="AC196" s="109"/>
      <c r="AD196" s="111"/>
      <c r="AE196" s="58"/>
      <c r="AF196" s="644"/>
      <c r="AG196" s="198"/>
      <c r="AH196" s="199"/>
      <c r="AI196" s="200"/>
      <c r="AJ196" s="197"/>
      <c r="AK196" s="91"/>
      <c r="AL196"/>
      <c r="AM196"/>
      <c r="AN196"/>
      <c r="AO196"/>
      <c r="AP196"/>
      <c r="AQ196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4"/>
      <c r="BN196" s="224"/>
      <c r="BO196" s="224"/>
      <c r="BP196" s="224"/>
      <c r="BQ196" s="224"/>
      <c r="BR196" s="224"/>
      <c r="BS196" s="224"/>
      <c r="BT196" s="224"/>
      <c r="BU196" s="224"/>
      <c r="BV196" s="224"/>
      <c r="BW196" s="224"/>
      <c r="BX196" s="224"/>
      <c r="BY196" s="224"/>
      <c r="BZ196" s="224"/>
      <c r="CA196" s="224"/>
      <c r="CB196" s="224"/>
      <c r="CC196" s="224"/>
      <c r="CD196" s="224"/>
      <c r="CE196" s="224"/>
      <c r="CF196" s="224"/>
      <c r="CG196" s="224"/>
      <c r="CH196" s="224"/>
    </row>
    <row r="197" spans="1:86" s="1" customFormat="1" ht="18" hidden="1" customHeight="1">
      <c r="A197" s="614"/>
      <c r="B197" s="644"/>
      <c r="C197" s="194"/>
      <c r="D197" s="195"/>
      <c r="E197" s="196"/>
      <c r="F197" s="197"/>
      <c r="G197" s="617"/>
      <c r="H197" s="112"/>
      <c r="I197" s="109"/>
      <c r="J197" s="111"/>
      <c r="K197" s="58"/>
      <c r="L197" s="617"/>
      <c r="M197" s="112"/>
      <c r="N197" s="109"/>
      <c r="O197" s="111"/>
      <c r="P197" s="58"/>
      <c r="Q197" s="617"/>
      <c r="R197" s="112"/>
      <c r="S197" s="109"/>
      <c r="T197" s="111"/>
      <c r="U197" s="58"/>
      <c r="V197" s="617"/>
      <c r="W197" s="112"/>
      <c r="X197" s="109"/>
      <c r="Y197" s="111"/>
      <c r="Z197" s="58"/>
      <c r="AA197" s="617"/>
      <c r="AB197" s="112"/>
      <c r="AC197" s="109"/>
      <c r="AD197" s="111"/>
      <c r="AE197" s="58"/>
      <c r="AF197" s="644"/>
      <c r="AG197" s="198"/>
      <c r="AH197" s="199"/>
      <c r="AI197" s="200"/>
      <c r="AJ197" s="197"/>
      <c r="AK197" s="91"/>
      <c r="AL197"/>
      <c r="AM197"/>
      <c r="AN197"/>
      <c r="AO197"/>
      <c r="AP197"/>
      <c r="AQ197"/>
      <c r="AR197" s="224"/>
      <c r="AS197" s="224"/>
      <c r="AT197" s="224"/>
      <c r="AU197" s="224"/>
      <c r="AV197" s="224"/>
      <c r="AW197" s="224"/>
      <c r="AX197" s="224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4"/>
      <c r="BN197" s="224"/>
      <c r="BO197" s="224"/>
      <c r="BP197" s="224"/>
      <c r="BQ197" s="224"/>
      <c r="BR197" s="224"/>
      <c r="BS197" s="224"/>
      <c r="BT197" s="224"/>
      <c r="BU197" s="224"/>
      <c r="BV197" s="224"/>
      <c r="BW197" s="224"/>
      <c r="BX197" s="224"/>
      <c r="BY197" s="224"/>
      <c r="BZ197" s="224"/>
      <c r="CA197" s="224"/>
      <c r="CB197" s="224"/>
      <c r="CC197" s="224"/>
      <c r="CD197" s="224"/>
      <c r="CE197" s="224"/>
      <c r="CF197" s="224"/>
      <c r="CG197" s="224"/>
      <c r="CH197" s="224"/>
    </row>
    <row r="198" spans="1:86" s="1" customFormat="1" ht="18" hidden="1" customHeight="1">
      <c r="A198" s="615"/>
      <c r="B198" s="645"/>
      <c r="C198" s="201"/>
      <c r="D198" s="202"/>
      <c r="E198" s="203"/>
      <c r="F198" s="204"/>
      <c r="G198" s="618"/>
      <c r="H198" s="112"/>
      <c r="I198" s="109"/>
      <c r="J198" s="111"/>
      <c r="K198" s="58"/>
      <c r="L198" s="618"/>
      <c r="M198" s="112"/>
      <c r="N198" s="109"/>
      <c r="O198" s="111"/>
      <c r="P198" s="58"/>
      <c r="Q198" s="618"/>
      <c r="R198" s="112"/>
      <c r="S198" s="109"/>
      <c r="T198" s="111"/>
      <c r="U198" s="58"/>
      <c r="V198" s="618"/>
      <c r="W198" s="112"/>
      <c r="X198" s="109"/>
      <c r="Y198" s="111"/>
      <c r="Z198" s="58"/>
      <c r="AA198" s="618"/>
      <c r="AB198" s="112"/>
      <c r="AC198" s="109"/>
      <c r="AD198" s="111"/>
      <c r="AE198" s="58"/>
      <c r="AF198" s="645"/>
      <c r="AG198" s="205"/>
      <c r="AH198" s="206"/>
      <c r="AI198" s="207"/>
      <c r="AJ198" s="204"/>
      <c r="AK198" s="91"/>
      <c r="AL198"/>
      <c r="AM198"/>
      <c r="AN198"/>
      <c r="AO198"/>
      <c r="AP198"/>
      <c r="AQ198"/>
      <c r="AR198" s="224"/>
      <c r="AS198" s="224"/>
      <c r="AT198" s="224"/>
      <c r="AU198" s="224"/>
      <c r="AV198" s="224"/>
      <c r="AW198" s="224"/>
      <c r="AX198" s="224"/>
      <c r="AY198" s="224"/>
      <c r="AZ198" s="224"/>
      <c r="BA198" s="224"/>
      <c r="BB198" s="224"/>
      <c r="BC198" s="224"/>
      <c r="BD198" s="224"/>
      <c r="BE198" s="224"/>
      <c r="BF198" s="224"/>
      <c r="BG198" s="224"/>
      <c r="BH198" s="224"/>
      <c r="BI198" s="224"/>
      <c r="BJ198" s="224"/>
      <c r="BK198" s="224"/>
      <c r="BL198" s="224"/>
      <c r="BM198" s="224"/>
      <c r="BN198" s="224"/>
      <c r="BO198" s="224"/>
      <c r="BP198" s="224"/>
      <c r="BQ198" s="224"/>
      <c r="BR198" s="224"/>
      <c r="BS198" s="224"/>
      <c r="BT198" s="224"/>
      <c r="BU198" s="224"/>
      <c r="BV198" s="224"/>
      <c r="BW198" s="224"/>
      <c r="BX198" s="224"/>
      <c r="BY198" s="224"/>
      <c r="BZ198" s="224"/>
      <c r="CA198" s="224"/>
      <c r="CB198" s="224"/>
      <c r="CC198" s="224"/>
      <c r="CD198" s="224"/>
      <c r="CE198" s="224"/>
      <c r="CF198" s="224"/>
      <c r="CG198" s="224"/>
      <c r="CH198" s="224"/>
    </row>
    <row r="199" spans="1:86" s="1" customFormat="1" ht="18" customHeight="1">
      <c r="A199" s="613" t="s">
        <v>58</v>
      </c>
      <c r="B199" s="643"/>
      <c r="C199" s="187"/>
      <c r="D199" s="188"/>
      <c r="E199" s="189"/>
      <c r="F199" s="190"/>
      <c r="G199" s="572" t="s">
        <v>341</v>
      </c>
      <c r="H199" s="368" t="s">
        <v>92</v>
      </c>
      <c r="I199" s="377" t="s">
        <v>343</v>
      </c>
      <c r="J199" s="253">
        <f>MROUND(5*J$267/1000,3)</f>
        <v>6</v>
      </c>
      <c r="K199" s="223" t="s">
        <v>0</v>
      </c>
      <c r="L199" s="567" t="s">
        <v>227</v>
      </c>
      <c r="M199" s="93" t="s">
        <v>83</v>
      </c>
      <c r="N199" s="9"/>
      <c r="O199" s="253">
        <f>ROUND(13*O$267/1000,0)</f>
        <v>15</v>
      </c>
      <c r="P199" s="223" t="s">
        <v>0</v>
      </c>
      <c r="Q199" s="572" t="s">
        <v>377</v>
      </c>
      <c r="R199" s="376" t="s">
        <v>375</v>
      </c>
      <c r="S199" s="377"/>
      <c r="T199" s="378">
        <f>ROUND(13*T$267/1000,0)</f>
        <v>15</v>
      </c>
      <c r="U199" s="379" t="s">
        <v>0</v>
      </c>
      <c r="V199" s="572" t="s">
        <v>356</v>
      </c>
      <c r="W199" s="376" t="s">
        <v>122</v>
      </c>
      <c r="X199" s="377"/>
      <c r="Y199" s="378">
        <f>MROUND(13*Y$267/1000,3)</f>
        <v>15</v>
      </c>
      <c r="Z199" s="379" t="s">
        <v>0</v>
      </c>
      <c r="AA199" s="567" t="s">
        <v>228</v>
      </c>
      <c r="AB199" s="93" t="s">
        <v>161</v>
      </c>
      <c r="AC199" s="9"/>
      <c r="AD199" s="369">
        <v>2</v>
      </c>
      <c r="AE199" s="223" t="s">
        <v>0</v>
      </c>
      <c r="AF199" s="654"/>
      <c r="AG199" s="11"/>
      <c r="AH199" s="9"/>
      <c r="AI199" s="56"/>
      <c r="AJ199" s="34"/>
      <c r="AK199" s="91"/>
      <c r="AL199"/>
      <c r="AM199"/>
      <c r="AN199"/>
      <c r="AO199"/>
      <c r="AP199"/>
      <c r="AQ199"/>
      <c r="AR199"/>
      <c r="AS199"/>
      <c r="AT199" s="224"/>
      <c r="AU199" s="224"/>
      <c r="AV199" s="224"/>
      <c r="AW199" s="224"/>
      <c r="AX199" s="224"/>
      <c r="AY199" s="224"/>
      <c r="AZ199" s="224"/>
      <c r="BA199" s="224"/>
      <c r="BB199" s="224"/>
      <c r="BC199" s="224"/>
      <c r="BD199" s="224"/>
      <c r="BE199" s="224"/>
      <c r="BF199" s="224"/>
      <c r="BG199" s="224"/>
      <c r="BH199" s="224"/>
      <c r="BI199" s="224"/>
      <c r="BJ199" s="224"/>
      <c r="BK199" s="224"/>
      <c r="BL199" s="224"/>
      <c r="BM199" s="224"/>
      <c r="BN199" s="224"/>
      <c r="BO199" s="224"/>
      <c r="BP199" s="224"/>
      <c r="BQ199" s="224"/>
      <c r="BR199" s="224"/>
      <c r="BS199" s="224"/>
      <c r="BT199" s="224"/>
      <c r="BU199" s="224"/>
      <c r="BV199" s="224"/>
      <c r="BW199" s="224"/>
      <c r="BX199" s="224"/>
      <c r="BY199" s="224"/>
      <c r="BZ199" s="224"/>
      <c r="CA199" s="224"/>
      <c r="CB199" s="224"/>
      <c r="CC199" s="224"/>
      <c r="CD199" s="224"/>
      <c r="CE199" s="224"/>
      <c r="CF199" s="224"/>
      <c r="CG199" s="224"/>
      <c r="CH199" s="224"/>
    </row>
    <row r="200" spans="1:86" s="1" customFormat="1" ht="18" customHeight="1">
      <c r="A200" s="614"/>
      <c r="B200" s="644"/>
      <c r="C200" s="194"/>
      <c r="D200" s="195"/>
      <c r="E200" s="196"/>
      <c r="F200" s="197"/>
      <c r="G200" s="573"/>
      <c r="H200" s="413" t="s">
        <v>342</v>
      </c>
      <c r="I200" s="13"/>
      <c r="J200" s="254">
        <f>ROUND(22.5*J$267/1000,0)</f>
        <v>29</v>
      </c>
      <c r="K200" s="255" t="s">
        <v>0</v>
      </c>
      <c r="L200" s="568"/>
      <c r="M200" s="97" t="s">
        <v>127</v>
      </c>
      <c r="N200" s="13"/>
      <c r="O200" s="254">
        <f>MROUND(15*O$267/1000,1.2)</f>
        <v>16.8</v>
      </c>
      <c r="P200" s="255" t="s">
        <v>0</v>
      </c>
      <c r="Q200" s="573"/>
      <c r="R200" s="373" t="s">
        <v>270</v>
      </c>
      <c r="S200" s="380"/>
      <c r="T200" s="374">
        <f>ROUND(15.5*T$267/1000,0)</f>
        <v>18</v>
      </c>
      <c r="U200" s="375" t="s">
        <v>0</v>
      </c>
      <c r="V200" s="573"/>
      <c r="W200" s="373" t="s">
        <v>355</v>
      </c>
      <c r="X200" s="380"/>
      <c r="Y200" s="374">
        <v>2</v>
      </c>
      <c r="Z200" s="375" t="s">
        <v>0</v>
      </c>
      <c r="AA200" s="568"/>
      <c r="AB200" s="97" t="s">
        <v>137</v>
      </c>
      <c r="AC200" s="13"/>
      <c r="AD200" s="254">
        <f>MROUND(18*AD$267/1000,3)</f>
        <v>21</v>
      </c>
      <c r="AE200" s="255" t="s">
        <v>0</v>
      </c>
      <c r="AF200" s="655"/>
      <c r="AG200" s="12"/>
      <c r="AH200" s="13"/>
      <c r="AI200" s="57"/>
      <c r="AJ200" s="58"/>
      <c r="AK200" s="91"/>
      <c r="AL200"/>
      <c r="AM200"/>
      <c r="AN200"/>
      <c r="AO200"/>
      <c r="AP200"/>
      <c r="AQ200"/>
      <c r="AR200"/>
      <c r="AS200"/>
      <c r="AT200" s="224"/>
      <c r="AU200" s="224"/>
      <c r="AV200" s="224"/>
      <c r="AW200" s="224"/>
      <c r="AX200" s="224"/>
      <c r="AY200" s="224"/>
      <c r="AZ200" s="224"/>
      <c r="BA200" s="224"/>
      <c r="BB200" s="224"/>
      <c r="BC200" s="224"/>
      <c r="BD200" s="224"/>
      <c r="BE200" s="224"/>
      <c r="BF200" s="224"/>
      <c r="BG200" s="224"/>
      <c r="BH200" s="224"/>
      <c r="BI200" s="224"/>
      <c r="BJ200" s="224"/>
      <c r="BK200" s="224"/>
      <c r="BL200" s="224"/>
      <c r="BM200" s="224"/>
      <c r="BN200" s="224"/>
      <c r="BO200" s="224"/>
      <c r="BP200" s="224"/>
      <c r="BQ200" s="224"/>
      <c r="BR200" s="224"/>
      <c r="BS200" s="224"/>
      <c r="BT200" s="224"/>
      <c r="BU200" s="224"/>
      <c r="BV200" s="224"/>
      <c r="BW200" s="224"/>
      <c r="BX200" s="224"/>
      <c r="BY200" s="224"/>
      <c r="BZ200" s="224"/>
      <c r="CA200" s="224"/>
      <c r="CB200" s="224"/>
      <c r="CC200" s="224"/>
      <c r="CD200" s="224"/>
      <c r="CE200" s="224"/>
      <c r="CF200" s="224"/>
      <c r="CG200" s="224"/>
      <c r="CH200" s="224"/>
    </row>
    <row r="201" spans="1:86" s="1" customFormat="1" ht="18" customHeight="1">
      <c r="A201" s="614"/>
      <c r="B201" s="644"/>
      <c r="C201" s="194"/>
      <c r="D201" s="195"/>
      <c r="E201" s="196"/>
      <c r="F201" s="197"/>
      <c r="G201" s="573"/>
      <c r="H201" s="97" t="s">
        <v>229</v>
      </c>
      <c r="I201" s="13"/>
      <c r="J201" s="254">
        <v>2</v>
      </c>
      <c r="K201" s="335" t="s">
        <v>21</v>
      </c>
      <c r="L201" s="568"/>
      <c r="M201" s="413" t="s">
        <v>109</v>
      </c>
      <c r="N201" s="13"/>
      <c r="O201" s="367">
        <v>9</v>
      </c>
      <c r="P201" s="255" t="s">
        <v>0</v>
      </c>
      <c r="Q201" s="573"/>
      <c r="R201" s="373" t="s">
        <v>132</v>
      </c>
      <c r="S201" s="380"/>
      <c r="T201" s="374">
        <f>ROUND(20*T$267/1000,0)</f>
        <v>23</v>
      </c>
      <c r="U201" s="375" t="s">
        <v>0</v>
      </c>
      <c r="V201" s="573"/>
      <c r="W201" s="373" t="s">
        <v>307</v>
      </c>
      <c r="X201" s="380"/>
      <c r="Y201" s="374">
        <v>1</v>
      </c>
      <c r="Z201" s="375" t="s">
        <v>0</v>
      </c>
      <c r="AA201" s="568"/>
      <c r="AB201" s="319" t="s">
        <v>230</v>
      </c>
      <c r="AC201" s="113"/>
      <c r="AD201" s="256">
        <v>0.1</v>
      </c>
      <c r="AE201" s="255" t="s">
        <v>0</v>
      </c>
      <c r="AF201" s="655"/>
      <c r="AG201" s="12"/>
      <c r="AH201" s="13"/>
      <c r="AI201" s="57"/>
      <c r="AJ201" s="58"/>
      <c r="AK201" s="91"/>
      <c r="AL201"/>
      <c r="AM201"/>
      <c r="AN201"/>
      <c r="AO201"/>
      <c r="AP201"/>
      <c r="AQ201"/>
      <c r="AR201"/>
      <c r="AS201"/>
      <c r="AT201" s="224"/>
      <c r="AU201" s="224"/>
      <c r="AV201" s="224"/>
      <c r="AW201" s="224"/>
      <c r="AX201" s="224"/>
      <c r="AY201" s="224"/>
      <c r="AZ201" s="224"/>
      <c r="BA201" s="224"/>
      <c r="BB201" s="224"/>
      <c r="BC201" s="224"/>
      <c r="BD201" s="224"/>
      <c r="BE201" s="224"/>
      <c r="BF201" s="224"/>
      <c r="BG201" s="224"/>
      <c r="BH201" s="224"/>
      <c r="BI201" s="224"/>
      <c r="BJ201" s="224"/>
      <c r="BK201" s="224"/>
      <c r="BL201" s="224"/>
      <c r="BM201" s="224"/>
      <c r="BN201" s="224"/>
      <c r="BO201" s="224"/>
      <c r="BP201" s="224"/>
      <c r="BQ201" s="224"/>
      <c r="BR201" s="224"/>
      <c r="BS201" s="224"/>
      <c r="BT201" s="224"/>
      <c r="BU201" s="224"/>
      <c r="BV201" s="224"/>
      <c r="BW201" s="224"/>
      <c r="BX201" s="224"/>
      <c r="BY201" s="224"/>
      <c r="BZ201" s="224"/>
      <c r="CA201" s="224"/>
      <c r="CB201" s="224"/>
      <c r="CC201" s="224"/>
      <c r="CD201" s="224"/>
      <c r="CE201" s="224"/>
      <c r="CF201" s="224"/>
      <c r="CG201" s="224"/>
      <c r="CH201" s="224"/>
    </row>
    <row r="202" spans="1:86" s="1" customFormat="1" ht="18" customHeight="1">
      <c r="A202" s="614"/>
      <c r="B202" s="644"/>
      <c r="C202" s="194"/>
      <c r="D202" s="195"/>
      <c r="E202" s="196"/>
      <c r="F202" s="197"/>
      <c r="G202" s="573"/>
      <c r="H202" s="97" t="s">
        <v>231</v>
      </c>
      <c r="I202" s="13"/>
      <c r="J202" s="254">
        <v>1</v>
      </c>
      <c r="K202" s="255" t="s">
        <v>0</v>
      </c>
      <c r="L202" s="568"/>
      <c r="M202" s="97"/>
      <c r="N202" s="13"/>
      <c r="O202" s="254"/>
      <c r="P202" s="255" t="s">
        <v>0</v>
      </c>
      <c r="Q202" s="573"/>
      <c r="R202" s="373" t="s">
        <v>376</v>
      </c>
      <c r="S202" s="380"/>
      <c r="T202" s="374">
        <v>10</v>
      </c>
      <c r="U202" s="375" t="s">
        <v>372</v>
      </c>
      <c r="V202" s="573"/>
      <c r="W202" s="381" t="s">
        <v>339</v>
      </c>
      <c r="X202" s="382"/>
      <c r="Y202" s="383">
        <f>ROUND(25*25/1000,1)</f>
        <v>0.6</v>
      </c>
      <c r="Z202" s="375" t="s">
        <v>0</v>
      </c>
      <c r="AA202" s="568"/>
      <c r="AB202" s="97"/>
      <c r="AC202" s="13"/>
      <c r="AD202" s="254"/>
      <c r="AE202" s="255" t="s">
        <v>0</v>
      </c>
      <c r="AF202" s="655"/>
      <c r="AG202" s="12"/>
      <c r="AH202" s="13"/>
      <c r="AI202" s="57"/>
      <c r="AJ202" s="58"/>
      <c r="AK202" s="91"/>
      <c r="AL202"/>
      <c r="AM202"/>
      <c r="AN202"/>
      <c r="AO202"/>
      <c r="AP202"/>
      <c r="AQ202"/>
      <c r="AR202"/>
      <c r="AS202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4"/>
      <c r="BN202" s="224"/>
      <c r="BO202" s="224"/>
      <c r="BP202" s="224"/>
      <c r="BQ202" s="224"/>
      <c r="BR202" s="224"/>
      <c r="BS202" s="224"/>
      <c r="BT202" s="224"/>
      <c r="BU202" s="224"/>
      <c r="BV202" s="224"/>
      <c r="BW202" s="224"/>
      <c r="BX202" s="224"/>
      <c r="BY202" s="224"/>
      <c r="BZ202" s="224"/>
      <c r="CA202" s="224"/>
      <c r="CB202" s="224"/>
      <c r="CC202" s="224"/>
      <c r="CD202" s="224"/>
      <c r="CE202" s="224"/>
      <c r="CF202" s="224"/>
      <c r="CG202" s="224"/>
      <c r="CH202" s="224"/>
    </row>
    <row r="203" spans="1:86" s="1" customFormat="1" ht="18" customHeight="1">
      <c r="A203" s="614"/>
      <c r="B203" s="644"/>
      <c r="C203" s="194"/>
      <c r="D203" s="195"/>
      <c r="E203" s="196"/>
      <c r="F203" s="197"/>
      <c r="G203" s="573"/>
      <c r="H203" s="97" t="s">
        <v>122</v>
      </c>
      <c r="I203" s="13"/>
      <c r="J203" s="254">
        <f>ROUND(15*J$267/1000,0)</f>
        <v>19</v>
      </c>
      <c r="K203" s="255" t="s">
        <v>0</v>
      </c>
      <c r="L203" s="568"/>
      <c r="M203" s="97"/>
      <c r="N203" s="13"/>
      <c r="O203" s="254"/>
      <c r="P203" s="255" t="s">
        <v>0</v>
      </c>
      <c r="Q203" s="573"/>
      <c r="R203" s="321"/>
      <c r="S203" s="13"/>
      <c r="T203" s="419"/>
      <c r="U203" s="35" t="s">
        <v>0</v>
      </c>
      <c r="V203" s="573"/>
      <c r="W203" s="321"/>
      <c r="X203" s="13"/>
      <c r="Y203" s="419"/>
      <c r="Z203" s="35" t="s">
        <v>0</v>
      </c>
      <c r="AA203" s="568"/>
      <c r="AB203" s="97"/>
      <c r="AC203" s="13"/>
      <c r="AD203" s="254"/>
      <c r="AE203" s="255" t="s">
        <v>0</v>
      </c>
      <c r="AF203" s="655"/>
      <c r="AG203" s="12"/>
      <c r="AH203" s="13"/>
      <c r="AI203" s="57"/>
      <c r="AJ203" s="58"/>
      <c r="AK203" s="91"/>
      <c r="AL203"/>
      <c r="AM203"/>
      <c r="AN203"/>
      <c r="AO203"/>
      <c r="AP203"/>
      <c r="AQ203"/>
      <c r="AR203"/>
      <c r="AS203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4"/>
      <c r="BN203" s="224"/>
      <c r="BO203" s="224"/>
      <c r="BP203" s="224"/>
      <c r="BQ203" s="224"/>
      <c r="BR203" s="224"/>
      <c r="BS203" s="224"/>
      <c r="BT203" s="224"/>
      <c r="BU203" s="224"/>
      <c r="BV203" s="224"/>
      <c r="BW203" s="224"/>
      <c r="BX203" s="224"/>
      <c r="BY203" s="224"/>
      <c r="BZ203" s="224"/>
      <c r="CA203" s="224"/>
      <c r="CB203" s="224"/>
      <c r="CC203" s="224"/>
      <c r="CD203" s="224"/>
      <c r="CE203" s="224"/>
      <c r="CF203" s="224"/>
      <c r="CG203" s="224"/>
      <c r="CH203" s="224"/>
    </row>
    <row r="204" spans="1:86" s="1" customFormat="1" ht="18" customHeight="1">
      <c r="A204" s="614"/>
      <c r="B204" s="644"/>
      <c r="C204" s="194"/>
      <c r="D204" s="195"/>
      <c r="E204" s="196"/>
      <c r="F204" s="197"/>
      <c r="G204" s="573"/>
      <c r="H204" s="319" t="s">
        <v>232</v>
      </c>
      <c r="I204" s="113"/>
      <c r="J204" s="256">
        <f>ROUND(30*11/1000,1)</f>
        <v>0.3</v>
      </c>
      <c r="K204" s="255" t="s">
        <v>0</v>
      </c>
      <c r="L204" s="568"/>
      <c r="M204" s="97"/>
      <c r="N204" s="13"/>
      <c r="O204" s="254"/>
      <c r="P204" s="255" t="s">
        <v>0</v>
      </c>
      <c r="Q204" s="573"/>
      <c r="R204" s="321"/>
      <c r="S204" s="13"/>
      <c r="T204" s="419"/>
      <c r="U204" s="35" t="s">
        <v>0</v>
      </c>
      <c r="V204" s="573"/>
      <c r="W204" s="321"/>
      <c r="X204" s="13"/>
      <c r="Y204" s="419"/>
      <c r="Z204" s="35" t="s">
        <v>0</v>
      </c>
      <c r="AA204" s="568"/>
      <c r="AB204" s="97"/>
      <c r="AC204" s="13"/>
      <c r="AD204" s="254"/>
      <c r="AE204" s="255" t="s">
        <v>0</v>
      </c>
      <c r="AF204" s="655"/>
      <c r="AG204" s="12"/>
      <c r="AH204" s="13"/>
      <c r="AI204" s="57"/>
      <c r="AJ204" s="58"/>
      <c r="AK204" s="91"/>
      <c r="AL204"/>
      <c r="AM204"/>
      <c r="AN204"/>
      <c r="AO204"/>
      <c r="AP204"/>
      <c r="AQ204"/>
      <c r="AR204"/>
      <c r="AS20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4"/>
      <c r="BN204" s="224"/>
      <c r="BO204" s="224"/>
      <c r="BP204" s="224"/>
      <c r="BQ204" s="224"/>
      <c r="BR204" s="224"/>
      <c r="BS204" s="224"/>
      <c r="BT204" s="224"/>
      <c r="BU204" s="224"/>
      <c r="BV204" s="224"/>
      <c r="BW204" s="224"/>
      <c r="BX204" s="224"/>
      <c r="BY204" s="224"/>
      <c r="BZ204" s="224"/>
      <c r="CA204" s="224"/>
      <c r="CB204" s="224"/>
      <c r="CC204" s="224"/>
      <c r="CD204" s="224"/>
      <c r="CE204" s="224"/>
      <c r="CF204" s="224"/>
      <c r="CG204" s="224"/>
      <c r="CH204" s="224"/>
    </row>
    <row r="205" spans="1:86" s="1" customFormat="1" ht="18" customHeight="1">
      <c r="A205" s="614"/>
      <c r="B205" s="644"/>
      <c r="C205" s="194"/>
      <c r="D205" s="195"/>
      <c r="E205" s="196"/>
      <c r="F205" s="197"/>
      <c r="G205" s="573"/>
      <c r="H205" s="413" t="s">
        <v>262</v>
      </c>
      <c r="I205" s="380"/>
      <c r="J205" s="367">
        <v>3</v>
      </c>
      <c r="K205" s="255" t="s">
        <v>0</v>
      </c>
      <c r="L205" s="568"/>
      <c r="M205" s="97"/>
      <c r="N205" s="13"/>
      <c r="O205" s="254"/>
      <c r="P205" s="255" t="s">
        <v>0</v>
      </c>
      <c r="Q205" s="573"/>
      <c r="R205" s="321"/>
      <c r="S205" s="13"/>
      <c r="T205" s="419"/>
      <c r="U205" s="35" t="s">
        <v>0</v>
      </c>
      <c r="V205" s="573"/>
      <c r="W205" s="321"/>
      <c r="X205" s="13"/>
      <c r="Y205" s="419"/>
      <c r="Z205" s="35" t="s">
        <v>0</v>
      </c>
      <c r="AA205" s="568"/>
      <c r="AB205" s="97"/>
      <c r="AC205" s="13"/>
      <c r="AD205" s="254"/>
      <c r="AE205" s="255" t="s">
        <v>0</v>
      </c>
      <c r="AF205" s="655"/>
      <c r="AG205" s="12"/>
      <c r="AH205" s="13"/>
      <c r="AI205" s="57"/>
      <c r="AJ205" s="58"/>
      <c r="AK205" s="91"/>
      <c r="AL205"/>
      <c r="AM205"/>
      <c r="AN205"/>
      <c r="AO205"/>
      <c r="AP205"/>
      <c r="AQ205"/>
      <c r="AR205"/>
      <c r="AS205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4"/>
      <c r="BN205" s="224"/>
      <c r="BO205" s="224"/>
      <c r="BP205" s="224"/>
      <c r="BQ205" s="224"/>
      <c r="BR205" s="224"/>
      <c r="BS205" s="224"/>
      <c r="BT205" s="224"/>
      <c r="BU205" s="224"/>
      <c r="BV205" s="224"/>
      <c r="BW205" s="224"/>
      <c r="BX205" s="224"/>
      <c r="BY205" s="224"/>
      <c r="BZ205" s="224"/>
      <c r="CA205" s="224"/>
      <c r="CB205" s="224"/>
      <c r="CC205" s="224"/>
      <c r="CD205" s="224"/>
      <c r="CE205" s="224"/>
      <c r="CF205" s="224"/>
      <c r="CG205" s="224"/>
      <c r="CH205" s="224"/>
    </row>
    <row r="206" spans="1:86" s="1" customFormat="1" ht="18" customHeight="1" thickBot="1">
      <c r="A206" s="614"/>
      <c r="B206" s="644"/>
      <c r="C206" s="194"/>
      <c r="D206" s="195"/>
      <c r="E206" s="196"/>
      <c r="F206" s="197"/>
      <c r="G206" s="573"/>
      <c r="H206" s="330" t="s">
        <v>197</v>
      </c>
      <c r="I206" s="385"/>
      <c r="J206" s="367">
        <v>2</v>
      </c>
      <c r="K206" s="255" t="s">
        <v>0</v>
      </c>
      <c r="L206" s="568"/>
      <c r="M206" s="94"/>
      <c r="N206" s="14"/>
      <c r="O206" s="254"/>
      <c r="P206" s="257" t="s">
        <v>0</v>
      </c>
      <c r="Q206" s="573"/>
      <c r="R206" s="322"/>
      <c r="S206" s="14"/>
      <c r="T206" s="419"/>
      <c r="U206" s="54" t="s">
        <v>0</v>
      </c>
      <c r="V206" s="573"/>
      <c r="W206" s="322"/>
      <c r="X206" s="14"/>
      <c r="Y206" s="419"/>
      <c r="Z206" s="35" t="s">
        <v>0</v>
      </c>
      <c r="AA206" s="568"/>
      <c r="AB206" s="94"/>
      <c r="AC206" s="14"/>
      <c r="AD206" s="254"/>
      <c r="AE206" s="255" t="s">
        <v>0</v>
      </c>
      <c r="AF206" s="655"/>
      <c r="AG206" s="15"/>
      <c r="AH206" s="14"/>
      <c r="AI206" s="57"/>
      <c r="AJ206" s="58"/>
      <c r="AK206" s="91"/>
      <c r="AL206"/>
      <c r="AM206"/>
      <c r="AN206"/>
      <c r="AO206"/>
      <c r="AP206"/>
      <c r="AQ206"/>
      <c r="AR206"/>
      <c r="AS206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4"/>
      <c r="BN206" s="224"/>
      <c r="BO206" s="224"/>
      <c r="BP206" s="224"/>
      <c r="BQ206" s="224"/>
      <c r="BR206" s="224"/>
      <c r="BS206" s="224"/>
      <c r="BT206" s="224"/>
      <c r="BU206" s="224"/>
      <c r="BV206" s="224"/>
      <c r="BW206" s="224"/>
      <c r="BX206" s="224"/>
      <c r="BY206" s="224"/>
      <c r="BZ206" s="224"/>
      <c r="CA206" s="224"/>
      <c r="CB206" s="224"/>
      <c r="CC206" s="224"/>
      <c r="CD206" s="224"/>
      <c r="CE206" s="224"/>
      <c r="CF206" s="224"/>
      <c r="CG206" s="224"/>
      <c r="CH206" s="224"/>
    </row>
    <row r="207" spans="1:86" s="1" customFormat="1" ht="18" hidden="1" customHeight="1" thickBot="1">
      <c r="A207" s="614"/>
      <c r="B207" s="644"/>
      <c r="C207" s="194"/>
      <c r="D207" s="195"/>
      <c r="E207" s="196"/>
      <c r="F207" s="197"/>
      <c r="G207" s="573"/>
      <c r="H207" s="338"/>
      <c r="I207" s="339"/>
      <c r="J207" s="340"/>
      <c r="K207" s="255" t="s">
        <v>0</v>
      </c>
      <c r="L207" s="568"/>
      <c r="M207" s="341"/>
      <c r="N207" s="4"/>
      <c r="O207" s="342"/>
      <c r="P207" s="268"/>
      <c r="Q207" s="573"/>
      <c r="R207" s="97"/>
      <c r="S207" s="208"/>
      <c r="T207" s="356"/>
      <c r="U207" s="357"/>
      <c r="V207" s="573"/>
      <c r="W207" s="97"/>
      <c r="X207" s="208"/>
      <c r="Y207" s="356"/>
      <c r="Z207" s="357"/>
      <c r="AA207" s="568"/>
      <c r="AB207" s="98"/>
      <c r="AC207" s="264"/>
      <c r="AD207" s="344"/>
      <c r="AE207" s="255"/>
      <c r="AF207" s="655"/>
      <c r="AG207" s="12"/>
      <c r="AH207" s="13"/>
      <c r="AI207" s="67"/>
      <c r="AJ207" s="58"/>
      <c r="AK207" s="91"/>
      <c r="AL207"/>
      <c r="AM207"/>
      <c r="AN207"/>
      <c r="AO207"/>
      <c r="AP207"/>
      <c r="AQ207"/>
      <c r="AR207"/>
      <c r="AS207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4"/>
      <c r="BN207" s="224"/>
      <c r="BO207" s="224"/>
      <c r="BP207" s="224"/>
      <c r="BQ207" s="224"/>
      <c r="BR207" s="224"/>
      <c r="BS207" s="224"/>
      <c r="BT207" s="224"/>
      <c r="BU207" s="224"/>
      <c r="BV207" s="224"/>
      <c r="BW207" s="224"/>
      <c r="BX207" s="224"/>
      <c r="BY207" s="224"/>
      <c r="BZ207" s="224"/>
      <c r="CA207" s="224"/>
      <c r="CB207" s="224"/>
      <c r="CC207" s="224"/>
      <c r="CD207" s="224"/>
      <c r="CE207" s="224"/>
      <c r="CF207" s="224"/>
      <c r="CG207" s="224"/>
      <c r="CH207" s="224"/>
    </row>
    <row r="208" spans="1:86" s="1" customFormat="1" ht="18" hidden="1" customHeight="1">
      <c r="A208" s="614"/>
      <c r="B208" s="644"/>
      <c r="C208" s="194"/>
      <c r="D208" s="195"/>
      <c r="E208" s="196"/>
      <c r="F208" s="197"/>
      <c r="G208" s="573"/>
      <c r="H208" s="338"/>
      <c r="I208" s="339"/>
      <c r="J208" s="340"/>
      <c r="K208" s="255"/>
      <c r="L208" s="568"/>
      <c r="M208" s="341"/>
      <c r="N208" s="4"/>
      <c r="O208" s="342"/>
      <c r="P208" s="268"/>
      <c r="Q208" s="573"/>
      <c r="R208" s="97"/>
      <c r="S208" s="208"/>
      <c r="T208" s="356"/>
      <c r="U208" s="357"/>
      <c r="V208" s="573"/>
      <c r="W208" s="97"/>
      <c r="X208" s="208"/>
      <c r="Y208" s="356"/>
      <c r="Z208" s="357"/>
      <c r="AA208" s="568"/>
      <c r="AB208" s="98"/>
      <c r="AC208" s="264"/>
      <c r="AD208" s="344"/>
      <c r="AE208" s="255"/>
      <c r="AF208" s="655"/>
      <c r="AG208" s="12"/>
      <c r="AH208" s="13"/>
      <c r="AI208" s="67"/>
      <c r="AJ208" s="46"/>
      <c r="AK208" s="91"/>
      <c r="AL208"/>
      <c r="AM208"/>
      <c r="AN208"/>
      <c r="AO208"/>
      <c r="AP208"/>
      <c r="AQ208"/>
      <c r="AR208"/>
      <c r="AS208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4"/>
      <c r="BN208" s="224"/>
      <c r="BO208" s="224"/>
      <c r="BP208" s="224"/>
      <c r="BQ208" s="224"/>
      <c r="BR208" s="224"/>
      <c r="BS208" s="224"/>
      <c r="BT208" s="224"/>
      <c r="BU208" s="224"/>
      <c r="BV208" s="224"/>
      <c r="BW208" s="224"/>
      <c r="BX208" s="224"/>
      <c r="BY208" s="224"/>
      <c r="BZ208" s="224"/>
      <c r="CA208" s="224"/>
      <c r="CB208" s="224"/>
      <c r="CC208" s="224"/>
      <c r="CD208" s="224"/>
      <c r="CE208" s="224"/>
      <c r="CF208" s="224"/>
      <c r="CG208" s="224"/>
      <c r="CH208" s="224"/>
    </row>
    <row r="209" spans="1:86" s="1" customFormat="1" ht="18" hidden="1" customHeight="1">
      <c r="A209" s="614"/>
      <c r="B209" s="644"/>
      <c r="C209" s="194"/>
      <c r="D209" s="195"/>
      <c r="E209" s="196"/>
      <c r="F209" s="197"/>
      <c r="G209" s="573"/>
      <c r="H209" s="338"/>
      <c r="I209" s="339"/>
      <c r="J209" s="340"/>
      <c r="K209" s="255"/>
      <c r="L209" s="568"/>
      <c r="M209" s="341"/>
      <c r="N209" s="4"/>
      <c r="O209" s="342"/>
      <c r="P209" s="268"/>
      <c r="Q209" s="573"/>
      <c r="R209" s="97"/>
      <c r="S209" s="208"/>
      <c r="T209" s="356"/>
      <c r="U209" s="357"/>
      <c r="V209" s="573"/>
      <c r="W209" s="97"/>
      <c r="X209" s="208"/>
      <c r="Y209" s="356"/>
      <c r="Z209" s="357"/>
      <c r="AA209" s="568"/>
      <c r="AB209" s="98"/>
      <c r="AC209" s="264"/>
      <c r="AD209" s="344"/>
      <c r="AE209" s="255"/>
      <c r="AF209" s="655"/>
      <c r="AG209" s="12"/>
      <c r="AH209" s="13"/>
      <c r="AI209" s="67"/>
      <c r="AJ209" s="46"/>
      <c r="AK209" s="91"/>
      <c r="AL209"/>
      <c r="AM209"/>
      <c r="AN209"/>
      <c r="AO209"/>
      <c r="AP209"/>
      <c r="AQ209"/>
      <c r="AR209"/>
      <c r="AS209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4"/>
      <c r="BN209" s="224"/>
      <c r="BO209" s="224"/>
      <c r="BP209" s="224"/>
      <c r="BQ209" s="224"/>
      <c r="BR209" s="224"/>
      <c r="BS209" s="224"/>
      <c r="BT209" s="224"/>
      <c r="BU209" s="224"/>
      <c r="BV209" s="224"/>
      <c r="BW209" s="224"/>
      <c r="BX209" s="224"/>
      <c r="BY209" s="224"/>
      <c r="BZ209" s="224"/>
      <c r="CA209" s="224"/>
      <c r="CB209" s="224"/>
      <c r="CC209" s="224"/>
      <c r="CD209" s="224"/>
      <c r="CE209" s="224"/>
      <c r="CF209" s="224"/>
      <c r="CG209" s="224"/>
      <c r="CH209" s="224"/>
    </row>
    <row r="210" spans="1:86" s="1" customFormat="1" ht="18" hidden="1" customHeight="1">
      <c r="A210" s="614"/>
      <c r="B210" s="644"/>
      <c r="C210" s="194"/>
      <c r="D210" s="195"/>
      <c r="E210" s="196"/>
      <c r="F210" s="197"/>
      <c r="G210" s="573"/>
      <c r="H210" s="338"/>
      <c r="I210" s="339"/>
      <c r="J210" s="340"/>
      <c r="K210" s="255"/>
      <c r="L210" s="568"/>
      <c r="M210" s="341"/>
      <c r="N210" s="4"/>
      <c r="O210" s="342"/>
      <c r="P210" s="268"/>
      <c r="Q210" s="573"/>
      <c r="R210" s="97"/>
      <c r="S210" s="208"/>
      <c r="T210" s="356"/>
      <c r="U210" s="357"/>
      <c r="V210" s="573"/>
      <c r="W210" s="97"/>
      <c r="X210" s="208"/>
      <c r="Y210" s="356"/>
      <c r="Z210" s="357"/>
      <c r="AA210" s="568"/>
      <c r="AB210" s="98"/>
      <c r="AC210" s="264"/>
      <c r="AD210" s="344"/>
      <c r="AE210" s="255"/>
      <c r="AF210" s="655"/>
      <c r="AG210" s="12"/>
      <c r="AH210" s="13"/>
      <c r="AI210" s="67"/>
      <c r="AJ210" s="46"/>
      <c r="AK210" s="91"/>
      <c r="AL210"/>
      <c r="AM210"/>
      <c r="AN210"/>
      <c r="AO210"/>
      <c r="AP210"/>
      <c r="AQ210"/>
      <c r="AR210"/>
      <c r="AS210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  <c r="BP210" s="224"/>
      <c r="BQ210" s="224"/>
      <c r="BR210" s="224"/>
      <c r="BS210" s="224"/>
      <c r="BT210" s="224"/>
      <c r="BU210" s="224"/>
      <c r="BV210" s="224"/>
      <c r="BW210" s="224"/>
      <c r="BX210" s="224"/>
      <c r="BY210" s="224"/>
      <c r="BZ210" s="224"/>
      <c r="CA210" s="224"/>
      <c r="CB210" s="224"/>
      <c r="CC210" s="224"/>
      <c r="CD210" s="224"/>
      <c r="CE210" s="224"/>
      <c r="CF210" s="224"/>
      <c r="CG210" s="224"/>
      <c r="CH210" s="224"/>
    </row>
    <row r="211" spans="1:86" s="1" customFormat="1" ht="18" hidden="1" customHeight="1">
      <c r="A211" s="614"/>
      <c r="B211" s="644"/>
      <c r="C211" s="194"/>
      <c r="D211" s="195"/>
      <c r="E211" s="196"/>
      <c r="F211" s="197"/>
      <c r="G211" s="573"/>
      <c r="H211" s="338"/>
      <c r="I211" s="339"/>
      <c r="J211" s="340"/>
      <c r="K211" s="255"/>
      <c r="L211" s="568"/>
      <c r="M211" s="341"/>
      <c r="N211" s="4"/>
      <c r="O211" s="342"/>
      <c r="P211" s="268"/>
      <c r="Q211" s="573"/>
      <c r="R211" s="97"/>
      <c r="S211" s="208"/>
      <c r="T211" s="356"/>
      <c r="U211" s="357"/>
      <c r="V211" s="573"/>
      <c r="W211" s="97"/>
      <c r="X211" s="208"/>
      <c r="Y211" s="356"/>
      <c r="Z211" s="357"/>
      <c r="AA211" s="568"/>
      <c r="AB211" s="98"/>
      <c r="AC211" s="264"/>
      <c r="AD211" s="344"/>
      <c r="AE211" s="255"/>
      <c r="AF211" s="655"/>
      <c r="AG211" s="12"/>
      <c r="AH211" s="13"/>
      <c r="AI211" s="67"/>
      <c r="AJ211" s="46"/>
      <c r="AK211" s="91"/>
      <c r="AL211"/>
      <c r="AM211"/>
      <c r="AN211"/>
      <c r="AO211"/>
      <c r="AP211"/>
      <c r="AQ211"/>
      <c r="AR211"/>
      <c r="AS211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4"/>
      <c r="BN211" s="224"/>
      <c r="BO211" s="224"/>
      <c r="BP211" s="224"/>
      <c r="BQ211" s="224"/>
      <c r="BR211" s="224"/>
      <c r="BS211" s="224"/>
      <c r="BT211" s="224"/>
      <c r="BU211" s="224"/>
      <c r="BV211" s="224"/>
      <c r="BW211" s="224"/>
      <c r="BX211" s="224"/>
      <c r="BY211" s="224"/>
      <c r="BZ211" s="224"/>
      <c r="CA211" s="224"/>
      <c r="CB211" s="224"/>
      <c r="CC211" s="224"/>
      <c r="CD211" s="224"/>
      <c r="CE211" s="224"/>
      <c r="CF211" s="224"/>
      <c r="CG211" s="224"/>
      <c r="CH211" s="224"/>
    </row>
    <row r="212" spans="1:86" s="1" customFormat="1" ht="18" hidden="1" customHeight="1">
      <c r="A212" s="614"/>
      <c r="B212" s="644"/>
      <c r="C212" s="194"/>
      <c r="D212" s="195"/>
      <c r="E212" s="196"/>
      <c r="F212" s="197"/>
      <c r="G212" s="573"/>
      <c r="H212" s="338"/>
      <c r="I212" s="339"/>
      <c r="J212" s="340"/>
      <c r="K212" s="255"/>
      <c r="L212" s="568"/>
      <c r="M212" s="341"/>
      <c r="N212" s="4"/>
      <c r="O212" s="342"/>
      <c r="P212" s="268"/>
      <c r="Q212" s="573"/>
      <c r="R212" s="97"/>
      <c r="S212" s="208"/>
      <c r="T212" s="356"/>
      <c r="U212" s="357"/>
      <c r="V212" s="573"/>
      <c r="W212" s="97"/>
      <c r="X212" s="208"/>
      <c r="Y212" s="356"/>
      <c r="Z212" s="357"/>
      <c r="AA212" s="568"/>
      <c r="AB212" s="98"/>
      <c r="AC212" s="264"/>
      <c r="AD212" s="344"/>
      <c r="AE212" s="255"/>
      <c r="AF212" s="655"/>
      <c r="AG212" s="12"/>
      <c r="AH212" s="13"/>
      <c r="AI212" s="67"/>
      <c r="AJ212" s="46"/>
      <c r="AK212" s="91"/>
      <c r="AL212"/>
      <c r="AM212"/>
      <c r="AN212"/>
      <c r="AO212"/>
      <c r="AP212"/>
      <c r="AQ212"/>
      <c r="AR212"/>
      <c r="AS212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4"/>
      <c r="BN212" s="224"/>
      <c r="BO212" s="224"/>
      <c r="BP212" s="224"/>
      <c r="BQ212" s="224"/>
      <c r="BR212" s="224"/>
      <c r="BS212" s="224"/>
      <c r="BT212" s="224"/>
      <c r="BU212" s="224"/>
      <c r="BV212" s="224"/>
      <c r="BW212" s="224"/>
      <c r="BX212" s="224"/>
      <c r="BY212" s="224"/>
      <c r="BZ212" s="224"/>
      <c r="CA212" s="224"/>
      <c r="CB212" s="224"/>
      <c r="CC212" s="224"/>
      <c r="CD212" s="224"/>
      <c r="CE212" s="224"/>
      <c r="CF212" s="224"/>
      <c r="CG212" s="224"/>
      <c r="CH212" s="224"/>
    </row>
    <row r="213" spans="1:86" s="1" customFormat="1" ht="18" hidden="1" customHeight="1">
      <c r="A213" s="615"/>
      <c r="B213" s="644"/>
      <c r="C213" s="194"/>
      <c r="D213" s="195"/>
      <c r="E213" s="196"/>
      <c r="F213" s="197"/>
      <c r="G213" s="574"/>
      <c r="H213" s="345"/>
      <c r="I213" s="346"/>
      <c r="J213" s="347"/>
      <c r="K213" s="257"/>
      <c r="L213" s="569"/>
      <c r="M213" s="348"/>
      <c r="N213" s="5"/>
      <c r="O213" s="349"/>
      <c r="P213" s="269"/>
      <c r="Q213" s="574"/>
      <c r="R213" s="94"/>
      <c r="S213" s="323"/>
      <c r="T213" s="358"/>
      <c r="U213" s="270"/>
      <c r="V213" s="574"/>
      <c r="W213" s="94"/>
      <c r="X213" s="323"/>
      <c r="Y213" s="358"/>
      <c r="Z213" s="270"/>
      <c r="AA213" s="569"/>
      <c r="AB213" s="98"/>
      <c r="AC213" s="264"/>
      <c r="AD213" s="344"/>
      <c r="AE213" s="255"/>
      <c r="AF213" s="656"/>
      <c r="AG213" s="15"/>
      <c r="AH213" s="14"/>
      <c r="AI213" s="68"/>
      <c r="AJ213" s="41"/>
      <c r="AK213" s="91"/>
      <c r="AL213"/>
      <c r="AM213"/>
      <c r="AN213"/>
      <c r="AO213"/>
      <c r="AP213"/>
      <c r="AQ213"/>
      <c r="AR213"/>
      <c r="AS213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4"/>
      <c r="BN213" s="224"/>
      <c r="BO213" s="224"/>
      <c r="BP213" s="224"/>
      <c r="BQ213" s="224"/>
      <c r="BR213" s="224"/>
      <c r="BS213" s="224"/>
      <c r="BT213" s="224"/>
      <c r="BU213" s="224"/>
      <c r="BV213" s="224"/>
      <c r="BW213" s="224"/>
      <c r="BX213" s="224"/>
      <c r="BY213" s="224"/>
      <c r="BZ213" s="224"/>
      <c r="CA213" s="224"/>
      <c r="CB213" s="224"/>
      <c r="CC213" s="224"/>
      <c r="CD213" s="224"/>
      <c r="CE213" s="224"/>
      <c r="CF213" s="224"/>
      <c r="CG213" s="224"/>
      <c r="CH213" s="224"/>
    </row>
    <row r="214" spans="1:86" s="1" customFormat="1" ht="18" customHeight="1">
      <c r="A214" s="514" t="s">
        <v>59</v>
      </c>
      <c r="B214" s="159"/>
      <c r="C214" s="160"/>
      <c r="D214" s="161"/>
      <c r="E214" s="162"/>
      <c r="F214" s="163"/>
      <c r="G214" s="148" t="s">
        <v>148</v>
      </c>
      <c r="H214" s="151" t="s">
        <v>148</v>
      </c>
      <c r="I214" s="216"/>
      <c r="J214" s="151">
        <v>1860</v>
      </c>
      <c r="K214" s="152" t="s">
        <v>10</v>
      </c>
      <c r="L214" s="148" t="s">
        <v>89</v>
      </c>
      <c r="M214" s="164" t="s">
        <v>90</v>
      </c>
      <c r="N214" s="216"/>
      <c r="O214" s="151">
        <v>1529</v>
      </c>
      <c r="P214" s="152" t="s">
        <v>10</v>
      </c>
      <c r="Q214" s="148" t="s">
        <v>7</v>
      </c>
      <c r="R214" s="164" t="s">
        <v>88</v>
      </c>
      <c r="S214" s="217"/>
      <c r="T214" s="151">
        <v>2143</v>
      </c>
      <c r="U214" s="152" t="s">
        <v>10</v>
      </c>
      <c r="V214" s="148" t="s">
        <v>89</v>
      </c>
      <c r="W214" s="164" t="s">
        <v>90</v>
      </c>
      <c r="X214" s="216"/>
      <c r="Y214" s="151">
        <v>1524</v>
      </c>
      <c r="Z214" s="152" t="s">
        <v>10</v>
      </c>
      <c r="AA214" s="148" t="s">
        <v>7</v>
      </c>
      <c r="AB214" s="164" t="s">
        <v>7</v>
      </c>
      <c r="AC214" s="165"/>
      <c r="AD214" s="151">
        <v>2154</v>
      </c>
      <c r="AE214" s="152" t="s">
        <v>10</v>
      </c>
      <c r="AF214" s="148"/>
      <c r="AG214" s="149"/>
      <c r="AH214" s="150"/>
      <c r="AI214" s="149"/>
      <c r="AJ214" s="166"/>
      <c r="AK214" s="91"/>
      <c r="AL214"/>
      <c r="AM214"/>
      <c r="AN214"/>
      <c r="AO214"/>
      <c r="AP214"/>
      <c r="AQ21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4"/>
      <c r="BN214" s="224"/>
      <c r="BO214" s="224"/>
      <c r="BP214" s="224"/>
      <c r="BQ214" s="224"/>
      <c r="BR214" s="224"/>
      <c r="BS214" s="224"/>
      <c r="BT214" s="224"/>
      <c r="BU214" s="224"/>
      <c r="BV214" s="224"/>
      <c r="BW214" s="224"/>
      <c r="BX214" s="224"/>
      <c r="BY214" s="224"/>
      <c r="BZ214" s="224"/>
      <c r="CA214" s="224"/>
      <c r="CB214" s="224"/>
      <c r="CC214" s="224"/>
      <c r="CD214" s="224"/>
      <c r="CE214" s="224"/>
      <c r="CF214" s="224"/>
      <c r="CG214" s="224"/>
      <c r="CH214" s="224"/>
    </row>
    <row r="215" spans="1:86" s="1" customFormat="1" ht="18" customHeight="1">
      <c r="A215" s="515"/>
      <c r="B215" s="235"/>
      <c r="C215" s="236"/>
      <c r="D215" s="237"/>
      <c r="E215" s="238"/>
      <c r="F215" s="239"/>
      <c r="G215" s="240"/>
      <c r="H215" s="236" t="s">
        <v>116</v>
      </c>
      <c r="I215" s="271"/>
      <c r="J215" s="242"/>
      <c r="K215" s="243"/>
      <c r="L215" s="240"/>
      <c r="M215" s="236" t="s">
        <v>116</v>
      </c>
      <c r="N215" s="241"/>
      <c r="O215" s="236"/>
      <c r="P215" s="243"/>
      <c r="Q215" s="240"/>
      <c r="R215" s="236" t="s">
        <v>116</v>
      </c>
      <c r="S215" s="241"/>
      <c r="T215" s="236"/>
      <c r="U215" s="243"/>
      <c r="V215" s="240"/>
      <c r="W215" s="236" t="s">
        <v>116</v>
      </c>
      <c r="X215" s="271"/>
      <c r="Y215" s="242"/>
      <c r="Z215" s="243"/>
      <c r="AA215" s="240"/>
      <c r="AB215" s="236" t="s">
        <v>116</v>
      </c>
      <c r="AC215" s="241"/>
      <c r="AD215" s="236"/>
      <c r="AE215" s="243"/>
      <c r="AF215" s="240"/>
      <c r="AG215" s="244"/>
      <c r="AH215" s="245"/>
      <c r="AI215" s="244"/>
      <c r="AJ215" s="243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</row>
    <row r="216" spans="1:86" s="1" customFormat="1" ht="18" customHeight="1">
      <c r="A216" s="515"/>
      <c r="B216" s="235"/>
      <c r="C216" s="236"/>
      <c r="D216" s="237"/>
      <c r="E216" s="238"/>
      <c r="F216" s="239"/>
      <c r="G216" s="235"/>
      <c r="H216" s="236" t="s">
        <v>117</v>
      </c>
      <c r="I216" s="271"/>
      <c r="J216" s="242"/>
      <c r="K216" s="239"/>
      <c r="L216" s="235"/>
      <c r="M216" s="236" t="s">
        <v>117</v>
      </c>
      <c r="N216" s="241"/>
      <c r="O216" s="236"/>
      <c r="P216" s="239"/>
      <c r="Q216" s="240"/>
      <c r="R216" s="236" t="s">
        <v>117</v>
      </c>
      <c r="S216" s="241"/>
      <c r="T216" s="236"/>
      <c r="U216" s="243"/>
      <c r="V216" s="240"/>
      <c r="W216" s="236" t="s">
        <v>117</v>
      </c>
      <c r="X216" s="271"/>
      <c r="Y216" s="242"/>
      <c r="Z216" s="243"/>
      <c r="AA216" s="240"/>
      <c r="AB216" s="236" t="s">
        <v>117</v>
      </c>
      <c r="AC216" s="241"/>
      <c r="AD216" s="236"/>
      <c r="AE216" s="243"/>
      <c r="AF216" s="235"/>
      <c r="AG216" s="236"/>
      <c r="AH216" s="237"/>
      <c r="AI216" s="238"/>
      <c r="AJ216" s="239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</row>
    <row r="217" spans="1:86" s="1" customFormat="1" ht="18" customHeight="1">
      <c r="A217" s="515"/>
      <c r="B217" s="235"/>
      <c r="C217" s="236"/>
      <c r="D217" s="237"/>
      <c r="E217" s="238"/>
      <c r="F217" s="239"/>
      <c r="G217" s="235"/>
      <c r="H217" s="236" t="s">
        <v>118</v>
      </c>
      <c r="I217" s="271"/>
      <c r="J217" s="242"/>
      <c r="K217" s="239"/>
      <c r="L217" s="235"/>
      <c r="M217" s="236" t="s">
        <v>118</v>
      </c>
      <c r="N217" s="241"/>
      <c r="O217" s="236"/>
      <c r="P217" s="239"/>
      <c r="Q217" s="240"/>
      <c r="R217" s="236" t="s">
        <v>118</v>
      </c>
      <c r="S217" s="241"/>
      <c r="T217" s="236"/>
      <c r="U217" s="243"/>
      <c r="V217" s="240"/>
      <c r="W217" s="236" t="s">
        <v>118</v>
      </c>
      <c r="X217" s="271"/>
      <c r="Y217" s="242"/>
      <c r="Z217" s="243"/>
      <c r="AA217" s="240"/>
      <c r="AB217" s="236" t="s">
        <v>118</v>
      </c>
      <c r="AC217" s="241"/>
      <c r="AD217" s="236"/>
      <c r="AE217" s="243"/>
      <c r="AF217" s="235"/>
      <c r="AG217" s="236"/>
      <c r="AH217" s="237"/>
      <c r="AI217" s="238"/>
      <c r="AJ217" s="239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</row>
    <row r="218" spans="1:86" s="1" customFormat="1" ht="18" customHeight="1" thickBot="1">
      <c r="A218" s="515"/>
      <c r="B218" s="235"/>
      <c r="C218" s="236"/>
      <c r="D218" s="237"/>
      <c r="E218" s="238"/>
      <c r="F218" s="239"/>
      <c r="G218" s="246"/>
      <c r="H218" s="247" t="s">
        <v>119</v>
      </c>
      <c r="I218" s="272"/>
      <c r="J218" s="249"/>
      <c r="K218" s="250"/>
      <c r="L218" s="246"/>
      <c r="M218" s="247" t="s">
        <v>119</v>
      </c>
      <c r="N218" s="248"/>
      <c r="O218" s="247"/>
      <c r="P218" s="250"/>
      <c r="Q218" s="251"/>
      <c r="R218" s="247" t="s">
        <v>119</v>
      </c>
      <c r="S218" s="248"/>
      <c r="T218" s="247"/>
      <c r="U218" s="252"/>
      <c r="V218" s="251"/>
      <c r="W218" s="247" t="s">
        <v>119</v>
      </c>
      <c r="X218" s="272"/>
      <c r="Y218" s="249"/>
      <c r="Z218" s="252"/>
      <c r="AA218" s="251"/>
      <c r="AB218" s="247" t="s">
        <v>119</v>
      </c>
      <c r="AC218" s="248"/>
      <c r="AD218" s="247"/>
      <c r="AE218" s="252"/>
      <c r="AF218" s="235"/>
      <c r="AG218" s="236"/>
      <c r="AH218" s="237"/>
      <c r="AI218" s="238"/>
      <c r="AJ218" s="239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</row>
    <row r="219" spans="1:86" s="1" customFormat="1" ht="18" customHeight="1">
      <c r="A219" s="515"/>
      <c r="B219" s="167"/>
      <c r="C219" s="168"/>
      <c r="D219" s="169"/>
      <c r="E219" s="170"/>
      <c r="F219" s="171"/>
      <c r="G219" s="153"/>
      <c r="H219" s="154"/>
      <c r="I219" s="174"/>
      <c r="J219" s="154"/>
      <c r="K219" s="156"/>
      <c r="L219" s="153" t="s">
        <v>91</v>
      </c>
      <c r="M219" s="154" t="s">
        <v>91</v>
      </c>
      <c r="N219" s="174"/>
      <c r="O219" s="154">
        <v>285</v>
      </c>
      <c r="P219" s="156" t="s">
        <v>10</v>
      </c>
      <c r="Q219" s="153"/>
      <c r="R219" s="154"/>
      <c r="S219" s="155"/>
      <c r="T219" s="151"/>
      <c r="U219" s="152"/>
      <c r="V219" s="153" t="s">
        <v>91</v>
      </c>
      <c r="W219" s="154" t="s">
        <v>91</v>
      </c>
      <c r="X219" s="174"/>
      <c r="Y219" s="154">
        <v>283</v>
      </c>
      <c r="Z219" s="156" t="s">
        <v>10</v>
      </c>
      <c r="AA219" s="153"/>
      <c r="AB219" s="154"/>
      <c r="AC219" s="155"/>
      <c r="AD219" s="154"/>
      <c r="AE219" s="156"/>
      <c r="AF219" s="153"/>
      <c r="AG219" s="154"/>
      <c r="AH219" s="155"/>
      <c r="AI219" s="154"/>
      <c r="AJ219" s="156"/>
      <c r="AK219" s="91"/>
      <c r="AL219"/>
      <c r="AM219"/>
      <c r="AN219"/>
      <c r="AO219"/>
      <c r="AP219"/>
      <c r="AQ219"/>
      <c r="AR219" s="224"/>
      <c r="AS219" s="224"/>
      <c r="AT219" s="224"/>
      <c r="AU219" s="224"/>
      <c r="AV219" s="224"/>
      <c r="AW219" s="224"/>
      <c r="AX219" s="224"/>
      <c r="AY219" s="224"/>
      <c r="AZ219" s="224"/>
      <c r="BA219" s="224"/>
      <c r="BB219" s="224"/>
      <c r="BC219" s="224"/>
      <c r="BD219" s="224"/>
      <c r="BE219" s="224"/>
      <c r="BF219" s="224"/>
      <c r="BG219" s="224"/>
      <c r="BH219" s="224"/>
      <c r="BI219" s="224"/>
      <c r="BJ219" s="224"/>
      <c r="BK219" s="224"/>
      <c r="BL219" s="224"/>
      <c r="BM219" s="224"/>
      <c r="BN219" s="224"/>
      <c r="BO219" s="224"/>
      <c r="BP219" s="224"/>
      <c r="BQ219" s="224"/>
      <c r="BR219" s="224"/>
      <c r="BS219" s="224"/>
      <c r="BT219" s="224"/>
      <c r="BU219" s="224"/>
      <c r="BV219" s="224"/>
      <c r="BW219" s="224"/>
      <c r="BX219" s="224"/>
      <c r="BY219" s="224"/>
      <c r="BZ219" s="224"/>
      <c r="CA219" s="224"/>
      <c r="CB219" s="224"/>
      <c r="CC219" s="224"/>
      <c r="CD219" s="224"/>
      <c r="CE219" s="224"/>
      <c r="CF219" s="224"/>
      <c r="CG219" s="224"/>
      <c r="CH219" s="224"/>
    </row>
    <row r="220" spans="1:86" s="1" customFormat="1" ht="18" hidden="1" customHeight="1">
      <c r="A220" s="515"/>
      <c r="B220" s="167"/>
      <c r="C220" s="168"/>
      <c r="D220" s="169"/>
      <c r="E220" s="170"/>
      <c r="F220" s="171"/>
      <c r="G220" s="153"/>
      <c r="H220" s="154"/>
      <c r="I220" s="174"/>
      <c r="J220" s="154"/>
      <c r="K220" s="156"/>
      <c r="L220" s="153"/>
      <c r="M220" s="154"/>
      <c r="N220" s="174"/>
      <c r="O220" s="154"/>
      <c r="P220" s="156"/>
      <c r="Q220" s="153"/>
      <c r="R220" s="154"/>
      <c r="S220" s="155"/>
      <c r="T220" s="154"/>
      <c r="U220" s="156"/>
      <c r="V220" s="153"/>
      <c r="W220" s="154"/>
      <c r="X220" s="174"/>
      <c r="Y220" s="154"/>
      <c r="Z220" s="156"/>
      <c r="AA220" s="153"/>
      <c r="AB220" s="154"/>
      <c r="AC220" s="155"/>
      <c r="AD220" s="154"/>
      <c r="AE220" s="156"/>
      <c r="AF220" s="153"/>
      <c r="AG220" s="154"/>
      <c r="AH220" s="155"/>
      <c r="AI220" s="154"/>
      <c r="AJ220" s="156"/>
      <c r="AK220" s="91"/>
      <c r="AL220"/>
      <c r="AM220"/>
      <c r="AN220"/>
      <c r="AO220"/>
      <c r="AP220"/>
      <c r="AQ220"/>
      <c r="AR220" s="224"/>
      <c r="AS220" s="224"/>
      <c r="AT220" s="224"/>
      <c r="AU220" s="224"/>
      <c r="AV220" s="224"/>
      <c r="AW220" s="224"/>
      <c r="AX220" s="224"/>
      <c r="AY220" s="224"/>
      <c r="AZ220" s="224"/>
      <c r="BA220" s="224"/>
      <c r="BB220" s="224"/>
      <c r="BC220" s="224"/>
      <c r="BD220" s="224"/>
      <c r="BE220" s="224"/>
      <c r="BF220" s="224"/>
      <c r="BG220" s="224"/>
      <c r="BH220" s="224"/>
      <c r="BI220" s="224"/>
      <c r="BJ220" s="224"/>
      <c r="BK220" s="224"/>
      <c r="BL220" s="224"/>
      <c r="BM220" s="224"/>
      <c r="BN220" s="224"/>
      <c r="BO220" s="224"/>
      <c r="BP220" s="224"/>
      <c r="BQ220" s="224"/>
      <c r="BR220" s="224"/>
      <c r="BS220" s="224"/>
      <c r="BT220" s="224"/>
      <c r="BU220" s="224"/>
      <c r="BV220" s="224"/>
      <c r="BW220" s="224"/>
      <c r="BX220" s="224"/>
      <c r="BY220" s="224"/>
      <c r="BZ220" s="224"/>
      <c r="CA220" s="224"/>
      <c r="CB220" s="224"/>
      <c r="CC220" s="224"/>
      <c r="CD220" s="224"/>
      <c r="CE220" s="224"/>
      <c r="CF220" s="224"/>
      <c r="CG220" s="224"/>
      <c r="CH220" s="224"/>
    </row>
    <row r="221" spans="1:86" s="1" customFormat="1" ht="18" hidden="1" customHeight="1">
      <c r="A221" s="515"/>
      <c r="B221" s="167"/>
      <c r="C221" s="168"/>
      <c r="D221" s="169"/>
      <c r="E221" s="170"/>
      <c r="F221" s="171"/>
      <c r="G221" s="153"/>
      <c r="H221" s="154"/>
      <c r="I221" s="174"/>
      <c r="J221" s="154"/>
      <c r="K221" s="156"/>
      <c r="L221" s="153"/>
      <c r="M221" s="154"/>
      <c r="N221" s="174"/>
      <c r="O221" s="154"/>
      <c r="P221" s="156"/>
      <c r="Q221" s="153"/>
      <c r="R221" s="154"/>
      <c r="S221" s="155"/>
      <c r="T221" s="154"/>
      <c r="U221" s="156"/>
      <c r="V221" s="153"/>
      <c r="W221" s="154"/>
      <c r="X221" s="174"/>
      <c r="Y221" s="154"/>
      <c r="Z221" s="156"/>
      <c r="AA221" s="153"/>
      <c r="AB221" s="154"/>
      <c r="AC221" s="155"/>
      <c r="AD221" s="154"/>
      <c r="AE221" s="156"/>
      <c r="AF221" s="153"/>
      <c r="AG221" s="154"/>
      <c r="AH221" s="155"/>
      <c r="AI221" s="154"/>
      <c r="AJ221" s="156"/>
      <c r="AK221" s="91"/>
      <c r="AL221"/>
      <c r="AM221"/>
      <c r="AN221"/>
      <c r="AO221"/>
      <c r="AP221"/>
      <c r="AQ221"/>
      <c r="AR221" s="224"/>
      <c r="AS221" s="224"/>
      <c r="AT221" s="224"/>
      <c r="AU221" s="224"/>
      <c r="AV221" s="224"/>
      <c r="AW221" s="224"/>
      <c r="AX221" s="224"/>
      <c r="AY221" s="224"/>
      <c r="AZ221" s="224"/>
      <c r="BA221" s="224"/>
      <c r="BB221" s="224"/>
      <c r="BC221" s="224"/>
      <c r="BD221" s="224"/>
      <c r="BE221" s="224"/>
      <c r="BF221" s="224"/>
      <c r="BG221" s="224"/>
      <c r="BH221" s="224"/>
      <c r="BI221" s="224"/>
      <c r="BJ221" s="224"/>
      <c r="BK221" s="224"/>
      <c r="BL221" s="224"/>
      <c r="BM221" s="224"/>
      <c r="BN221" s="224"/>
      <c r="BO221" s="224"/>
      <c r="BP221" s="224"/>
      <c r="BQ221" s="224"/>
      <c r="BR221" s="224"/>
      <c r="BS221" s="224"/>
      <c r="BT221" s="224"/>
      <c r="BU221" s="224"/>
      <c r="BV221" s="224"/>
      <c r="BW221" s="224"/>
      <c r="BX221" s="224"/>
      <c r="BY221" s="224"/>
      <c r="BZ221" s="224"/>
      <c r="CA221" s="224"/>
      <c r="CB221" s="224"/>
      <c r="CC221" s="224"/>
      <c r="CD221" s="224"/>
      <c r="CE221" s="224"/>
      <c r="CF221" s="224"/>
      <c r="CG221" s="224"/>
      <c r="CH221" s="224"/>
    </row>
    <row r="222" spans="1:86" s="1" customFormat="1" ht="18" hidden="1" customHeight="1">
      <c r="A222" s="515"/>
      <c r="B222" s="167"/>
      <c r="C222" s="168"/>
      <c r="D222" s="169"/>
      <c r="E222" s="170"/>
      <c r="F222" s="171"/>
      <c r="G222" s="153"/>
      <c r="H222" s="154"/>
      <c r="I222" s="174"/>
      <c r="J222" s="154"/>
      <c r="K222" s="156"/>
      <c r="L222" s="153"/>
      <c r="M222" s="154"/>
      <c r="N222" s="174"/>
      <c r="O222" s="154"/>
      <c r="P222" s="156"/>
      <c r="Q222" s="153"/>
      <c r="R222" s="154"/>
      <c r="S222" s="155"/>
      <c r="T222" s="154"/>
      <c r="U222" s="156"/>
      <c r="V222" s="153"/>
      <c r="W222" s="154"/>
      <c r="X222" s="174"/>
      <c r="Y222" s="154"/>
      <c r="Z222" s="156"/>
      <c r="AA222" s="153"/>
      <c r="AB222" s="154"/>
      <c r="AC222" s="155"/>
      <c r="AD222" s="154"/>
      <c r="AE222" s="156"/>
      <c r="AF222" s="153"/>
      <c r="AG222" s="154"/>
      <c r="AH222" s="155"/>
      <c r="AI222" s="154"/>
      <c r="AJ222" s="156"/>
      <c r="AK222" s="91"/>
      <c r="AL222"/>
      <c r="AM222"/>
      <c r="AN222"/>
      <c r="AO222"/>
      <c r="AP222"/>
      <c r="AQ222"/>
      <c r="AR222" s="224"/>
      <c r="AS222" s="224"/>
      <c r="AT222" s="224"/>
      <c r="AU222" s="224"/>
      <c r="AV222" s="224"/>
      <c r="AW222" s="224"/>
      <c r="AX222" s="224"/>
      <c r="AY222" s="224"/>
      <c r="AZ222" s="224"/>
      <c r="BA222" s="224"/>
      <c r="BB222" s="224"/>
      <c r="BC222" s="224"/>
      <c r="BD222" s="224"/>
      <c r="BE222" s="224"/>
      <c r="BF222" s="224"/>
      <c r="BG222" s="224"/>
      <c r="BH222" s="224"/>
      <c r="BI222" s="224"/>
      <c r="BJ222" s="224"/>
      <c r="BK222" s="224"/>
      <c r="BL222" s="224"/>
      <c r="BM222" s="224"/>
      <c r="BN222" s="224"/>
      <c r="BO222" s="224"/>
      <c r="BP222" s="224"/>
      <c r="BQ222" s="224"/>
      <c r="BR222" s="224"/>
      <c r="BS222" s="224"/>
      <c r="BT222" s="224"/>
      <c r="BU222" s="224"/>
      <c r="BV222" s="224"/>
      <c r="BW222" s="224"/>
      <c r="BX222" s="224"/>
      <c r="BY222" s="224"/>
      <c r="BZ222" s="224"/>
      <c r="CA222" s="224"/>
      <c r="CB222" s="224"/>
      <c r="CC222" s="224"/>
      <c r="CD222" s="224"/>
      <c r="CE222" s="224"/>
      <c r="CF222" s="224"/>
      <c r="CG222" s="224"/>
      <c r="CH222" s="224"/>
    </row>
    <row r="223" spans="1:86" s="1" customFormat="1" ht="18" hidden="1" customHeight="1">
      <c r="A223" s="515"/>
      <c r="B223" s="167"/>
      <c r="C223" s="168"/>
      <c r="D223" s="169"/>
      <c r="E223" s="170"/>
      <c r="F223" s="171"/>
      <c r="G223" s="153"/>
      <c r="H223" s="154"/>
      <c r="I223" s="174"/>
      <c r="J223" s="154"/>
      <c r="K223" s="156"/>
      <c r="L223" s="153"/>
      <c r="M223" s="154"/>
      <c r="N223" s="174"/>
      <c r="O223" s="154"/>
      <c r="P223" s="156"/>
      <c r="Q223" s="153"/>
      <c r="R223" s="154"/>
      <c r="S223" s="155"/>
      <c r="T223" s="154"/>
      <c r="U223" s="156"/>
      <c r="V223" s="153"/>
      <c r="W223" s="154"/>
      <c r="X223" s="174"/>
      <c r="Y223" s="154"/>
      <c r="Z223" s="156"/>
      <c r="AA223" s="153"/>
      <c r="AB223" s="154"/>
      <c r="AC223" s="155"/>
      <c r="AD223" s="154"/>
      <c r="AE223" s="156"/>
      <c r="AF223" s="153"/>
      <c r="AG223" s="154"/>
      <c r="AH223" s="155"/>
      <c r="AI223" s="154"/>
      <c r="AJ223" s="156"/>
      <c r="AK223" s="91"/>
      <c r="AL223"/>
      <c r="AM223"/>
      <c r="AN223"/>
      <c r="AO223"/>
      <c r="AP223"/>
      <c r="AQ223"/>
      <c r="AR223" s="224"/>
      <c r="AS223" s="224"/>
      <c r="AT223" s="224"/>
      <c r="AU223" s="224"/>
      <c r="AV223" s="224"/>
      <c r="AW223" s="224"/>
      <c r="AX223" s="224"/>
      <c r="AY223" s="224"/>
      <c r="AZ223" s="224"/>
      <c r="BA223" s="224"/>
      <c r="BB223" s="224"/>
      <c r="BC223" s="224"/>
      <c r="BD223" s="224"/>
      <c r="BE223" s="224"/>
      <c r="BF223" s="224"/>
      <c r="BG223" s="224"/>
      <c r="BH223" s="224"/>
      <c r="BI223" s="224"/>
      <c r="BJ223" s="224"/>
      <c r="BK223" s="224"/>
      <c r="BL223" s="224"/>
      <c r="BM223" s="224"/>
      <c r="BN223" s="224"/>
      <c r="BO223" s="224"/>
      <c r="BP223" s="224"/>
      <c r="BQ223" s="224"/>
      <c r="BR223" s="224"/>
      <c r="BS223" s="224"/>
      <c r="BT223" s="224"/>
      <c r="BU223" s="224"/>
      <c r="BV223" s="224"/>
      <c r="BW223" s="224"/>
      <c r="BX223" s="224"/>
      <c r="BY223" s="224"/>
      <c r="BZ223" s="224"/>
      <c r="CA223" s="224"/>
      <c r="CB223" s="224"/>
      <c r="CC223" s="224"/>
      <c r="CD223" s="224"/>
      <c r="CE223" s="224"/>
      <c r="CF223" s="224"/>
      <c r="CG223" s="224"/>
      <c r="CH223" s="224"/>
    </row>
    <row r="224" spans="1:86" s="1" customFormat="1" ht="18" hidden="1" customHeight="1">
      <c r="A224" s="515"/>
      <c r="B224" s="167"/>
      <c r="C224" s="168"/>
      <c r="D224" s="169"/>
      <c r="E224" s="170"/>
      <c r="F224" s="171"/>
      <c r="G224" s="153"/>
      <c r="H224" s="154"/>
      <c r="I224" s="174"/>
      <c r="J224" s="154"/>
      <c r="K224" s="156"/>
      <c r="L224" s="153"/>
      <c r="M224" s="154"/>
      <c r="N224" s="174"/>
      <c r="O224" s="154"/>
      <c r="P224" s="156"/>
      <c r="Q224" s="153"/>
      <c r="R224" s="154"/>
      <c r="S224" s="155"/>
      <c r="T224" s="154"/>
      <c r="U224" s="156"/>
      <c r="V224" s="153"/>
      <c r="W224" s="154"/>
      <c r="X224" s="174"/>
      <c r="Y224" s="154"/>
      <c r="Z224" s="156"/>
      <c r="AA224" s="153"/>
      <c r="AB224" s="154"/>
      <c r="AC224" s="155"/>
      <c r="AD224" s="154"/>
      <c r="AE224" s="156"/>
      <c r="AF224" s="153"/>
      <c r="AG224" s="154"/>
      <c r="AH224" s="155"/>
      <c r="AI224" s="154"/>
      <c r="AJ224" s="156"/>
      <c r="AK224" s="91"/>
      <c r="AL224"/>
      <c r="AM224"/>
      <c r="AN224"/>
      <c r="AO224"/>
      <c r="AP224"/>
      <c r="AQ224"/>
      <c r="AR224" s="224"/>
      <c r="AS224" s="224"/>
      <c r="AT224" s="224"/>
      <c r="AU224" s="224"/>
      <c r="AV224" s="224"/>
      <c r="AW224" s="224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24"/>
      <c r="BN224" s="224"/>
      <c r="BO224" s="224"/>
      <c r="BP224" s="224"/>
      <c r="BQ224" s="224"/>
      <c r="BR224" s="224"/>
      <c r="BS224" s="224"/>
      <c r="BT224" s="224"/>
      <c r="BU224" s="224"/>
      <c r="BV224" s="224"/>
      <c r="BW224" s="224"/>
      <c r="BX224" s="224"/>
      <c r="BY224" s="224"/>
      <c r="BZ224" s="224"/>
      <c r="CA224" s="224"/>
      <c r="CB224" s="224"/>
      <c r="CC224" s="224"/>
      <c r="CD224" s="224"/>
      <c r="CE224" s="224"/>
      <c r="CF224" s="224"/>
      <c r="CG224" s="224"/>
      <c r="CH224" s="224"/>
    </row>
    <row r="225" spans="1:86" s="1" customFormat="1" ht="18" hidden="1" customHeight="1">
      <c r="A225" s="515"/>
      <c r="B225" s="167"/>
      <c r="C225" s="168"/>
      <c r="D225" s="169"/>
      <c r="E225" s="170"/>
      <c r="F225" s="171"/>
      <c r="G225" s="153"/>
      <c r="H225" s="154"/>
      <c r="I225" s="174"/>
      <c r="J225" s="154"/>
      <c r="K225" s="156"/>
      <c r="L225" s="153"/>
      <c r="M225" s="154"/>
      <c r="N225" s="174"/>
      <c r="O225" s="154"/>
      <c r="P225" s="156"/>
      <c r="Q225" s="153"/>
      <c r="R225" s="154"/>
      <c r="S225" s="155"/>
      <c r="T225" s="154"/>
      <c r="U225" s="156"/>
      <c r="V225" s="153"/>
      <c r="W225" s="154"/>
      <c r="X225" s="174"/>
      <c r="Y225" s="154"/>
      <c r="Z225" s="156"/>
      <c r="AA225" s="153"/>
      <c r="AB225" s="154"/>
      <c r="AC225" s="155"/>
      <c r="AD225" s="154"/>
      <c r="AE225" s="156"/>
      <c r="AF225" s="153"/>
      <c r="AG225" s="154"/>
      <c r="AH225" s="155"/>
      <c r="AI225" s="154"/>
      <c r="AJ225" s="156"/>
      <c r="AK225" s="91"/>
      <c r="AL225"/>
      <c r="AM225"/>
      <c r="AN225"/>
      <c r="AO225"/>
      <c r="AP225"/>
      <c r="AQ225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4"/>
      <c r="BN225" s="224"/>
      <c r="BO225" s="224"/>
      <c r="BP225" s="224"/>
      <c r="BQ225" s="224"/>
      <c r="BR225" s="224"/>
      <c r="BS225" s="224"/>
      <c r="BT225" s="224"/>
      <c r="BU225" s="224"/>
      <c r="BV225" s="224"/>
      <c r="BW225" s="224"/>
      <c r="BX225" s="224"/>
      <c r="BY225" s="224"/>
      <c r="BZ225" s="224"/>
      <c r="CA225" s="224"/>
      <c r="CB225" s="224"/>
      <c r="CC225" s="224"/>
      <c r="CD225" s="224"/>
      <c r="CE225" s="224"/>
      <c r="CF225" s="224"/>
      <c r="CG225" s="224"/>
      <c r="CH225" s="224"/>
    </row>
    <row r="226" spans="1:86" s="1" customFormat="1" ht="18" hidden="1" customHeight="1">
      <c r="A226" s="515"/>
      <c r="B226" s="167"/>
      <c r="C226" s="168"/>
      <c r="D226" s="169"/>
      <c r="E226" s="170"/>
      <c r="F226" s="171"/>
      <c r="G226" s="153"/>
      <c r="H226" s="154"/>
      <c r="I226" s="174"/>
      <c r="J226" s="154"/>
      <c r="K226" s="156"/>
      <c r="L226" s="153"/>
      <c r="M226" s="154"/>
      <c r="N226" s="174"/>
      <c r="O226" s="154"/>
      <c r="P226" s="156"/>
      <c r="Q226" s="153"/>
      <c r="R226" s="154"/>
      <c r="S226" s="155"/>
      <c r="T226" s="154"/>
      <c r="U226" s="156"/>
      <c r="V226" s="153"/>
      <c r="W226" s="154"/>
      <c r="X226" s="174"/>
      <c r="Y226" s="154"/>
      <c r="Z226" s="156"/>
      <c r="AA226" s="153"/>
      <c r="AB226" s="154"/>
      <c r="AC226" s="155"/>
      <c r="AD226" s="154"/>
      <c r="AE226" s="156"/>
      <c r="AF226" s="153"/>
      <c r="AG226" s="154"/>
      <c r="AH226" s="155"/>
      <c r="AI226" s="154"/>
      <c r="AJ226" s="156"/>
      <c r="AK226" s="91"/>
      <c r="AL226"/>
      <c r="AM226"/>
      <c r="AN226"/>
      <c r="AO226"/>
      <c r="AP226"/>
      <c r="AQ226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4"/>
      <c r="BN226" s="224"/>
      <c r="BO226" s="224"/>
      <c r="BP226" s="224"/>
      <c r="BQ226" s="224"/>
      <c r="BR226" s="224"/>
      <c r="BS226" s="224"/>
      <c r="BT226" s="224"/>
      <c r="BU226" s="224"/>
      <c r="BV226" s="224"/>
      <c r="BW226" s="224"/>
      <c r="BX226" s="224"/>
      <c r="BY226" s="224"/>
      <c r="BZ226" s="224"/>
      <c r="CA226" s="224"/>
      <c r="CB226" s="224"/>
      <c r="CC226" s="224"/>
      <c r="CD226" s="224"/>
      <c r="CE226" s="224"/>
      <c r="CF226" s="224"/>
      <c r="CG226" s="224"/>
      <c r="CH226" s="224"/>
    </row>
    <row r="227" spans="1:86" s="1" customFormat="1" ht="18" hidden="1" customHeight="1">
      <c r="A227" s="515"/>
      <c r="B227" s="167"/>
      <c r="C227" s="168"/>
      <c r="D227" s="169"/>
      <c r="E227" s="170"/>
      <c r="F227" s="171"/>
      <c r="G227" s="153"/>
      <c r="H227" s="154"/>
      <c r="I227" s="174"/>
      <c r="J227" s="154"/>
      <c r="K227" s="156"/>
      <c r="L227" s="153"/>
      <c r="M227" s="154"/>
      <c r="N227" s="174"/>
      <c r="O227" s="154"/>
      <c r="P227" s="156"/>
      <c r="Q227" s="153"/>
      <c r="R227" s="154"/>
      <c r="S227" s="155"/>
      <c r="T227" s="154"/>
      <c r="U227" s="156"/>
      <c r="V227" s="153"/>
      <c r="W227" s="154"/>
      <c r="X227" s="174"/>
      <c r="Y227" s="154"/>
      <c r="Z227" s="156"/>
      <c r="AA227" s="153"/>
      <c r="AB227" s="154"/>
      <c r="AC227" s="155"/>
      <c r="AD227" s="154"/>
      <c r="AE227" s="156"/>
      <c r="AF227" s="153"/>
      <c r="AG227" s="154"/>
      <c r="AH227" s="155"/>
      <c r="AI227" s="154"/>
      <c r="AJ227" s="156"/>
      <c r="AK227" s="91"/>
      <c r="AL227"/>
      <c r="AM227"/>
      <c r="AN227"/>
      <c r="AO227"/>
      <c r="AP227"/>
      <c r="AQ227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4"/>
      <c r="BN227" s="224"/>
      <c r="BO227" s="224"/>
      <c r="BP227" s="224"/>
      <c r="BQ227" s="224"/>
      <c r="BR227" s="224"/>
      <c r="BS227" s="224"/>
      <c r="BT227" s="224"/>
      <c r="BU227" s="224"/>
      <c r="BV227" s="224"/>
      <c r="BW227" s="224"/>
      <c r="BX227" s="224"/>
      <c r="BY227" s="224"/>
      <c r="BZ227" s="224"/>
      <c r="CA227" s="224"/>
      <c r="CB227" s="224"/>
      <c r="CC227" s="224"/>
      <c r="CD227" s="224"/>
      <c r="CE227" s="224"/>
      <c r="CF227" s="224"/>
      <c r="CG227" s="224"/>
      <c r="CH227" s="224"/>
    </row>
    <row r="228" spans="1:86" s="1" customFormat="1" ht="18" hidden="1" customHeight="1">
      <c r="A228" s="515"/>
      <c r="B228" s="167"/>
      <c r="C228" s="168"/>
      <c r="D228" s="169"/>
      <c r="E228" s="170"/>
      <c r="F228" s="171"/>
      <c r="G228" s="153"/>
      <c r="H228" s="154"/>
      <c r="I228" s="174"/>
      <c r="J228" s="154"/>
      <c r="K228" s="156"/>
      <c r="L228" s="153"/>
      <c r="M228" s="154"/>
      <c r="N228" s="174"/>
      <c r="O228" s="154"/>
      <c r="P228" s="156"/>
      <c r="Q228" s="153"/>
      <c r="R228" s="154"/>
      <c r="S228" s="155"/>
      <c r="T228" s="154"/>
      <c r="U228" s="156"/>
      <c r="V228" s="153"/>
      <c r="W228" s="154"/>
      <c r="X228" s="174"/>
      <c r="Y228" s="154"/>
      <c r="Z228" s="156"/>
      <c r="AA228" s="153"/>
      <c r="AB228" s="154"/>
      <c r="AC228" s="155"/>
      <c r="AD228" s="154"/>
      <c r="AE228" s="156"/>
      <c r="AF228" s="153"/>
      <c r="AG228" s="154"/>
      <c r="AH228" s="155"/>
      <c r="AI228" s="154"/>
      <c r="AJ228" s="156"/>
      <c r="AK228" s="91"/>
      <c r="AL228"/>
      <c r="AM228"/>
      <c r="AN228"/>
      <c r="AO228"/>
      <c r="AP228"/>
      <c r="AQ228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4"/>
      <c r="BN228" s="224"/>
      <c r="BO228" s="224"/>
      <c r="BP228" s="224"/>
      <c r="BQ228" s="224"/>
      <c r="BR228" s="224"/>
      <c r="BS228" s="224"/>
      <c r="BT228" s="224"/>
      <c r="BU228" s="224"/>
      <c r="BV228" s="224"/>
      <c r="BW228" s="224"/>
      <c r="BX228" s="224"/>
      <c r="BY228" s="224"/>
      <c r="BZ228" s="224"/>
      <c r="CA228" s="224"/>
      <c r="CB228" s="224"/>
      <c r="CC228" s="224"/>
      <c r="CD228" s="224"/>
      <c r="CE228" s="224"/>
      <c r="CF228" s="224"/>
      <c r="CG228" s="224"/>
      <c r="CH228" s="224"/>
    </row>
    <row r="229" spans="1:86" s="1" customFormat="1" ht="18" hidden="1" customHeight="1">
      <c r="A229" s="515"/>
      <c r="B229" s="167"/>
      <c r="C229" s="168"/>
      <c r="D229" s="169"/>
      <c r="E229" s="170"/>
      <c r="F229" s="171"/>
      <c r="G229" s="153"/>
      <c r="H229" s="154"/>
      <c r="I229" s="174"/>
      <c r="J229" s="154"/>
      <c r="K229" s="156"/>
      <c r="L229" s="153"/>
      <c r="M229" s="154"/>
      <c r="N229" s="174"/>
      <c r="O229" s="154"/>
      <c r="P229" s="156"/>
      <c r="Q229" s="153"/>
      <c r="R229" s="154"/>
      <c r="S229" s="155"/>
      <c r="T229" s="154"/>
      <c r="U229" s="156"/>
      <c r="V229" s="153"/>
      <c r="W229" s="154"/>
      <c r="X229" s="174"/>
      <c r="Y229" s="154"/>
      <c r="Z229" s="156"/>
      <c r="AA229" s="153"/>
      <c r="AB229" s="154"/>
      <c r="AC229" s="155"/>
      <c r="AD229" s="154"/>
      <c r="AE229" s="156"/>
      <c r="AF229" s="153"/>
      <c r="AG229" s="154"/>
      <c r="AH229" s="155"/>
      <c r="AI229" s="154"/>
      <c r="AJ229" s="156"/>
      <c r="AK229" s="91"/>
      <c r="AL229"/>
      <c r="AM229"/>
      <c r="AN229"/>
      <c r="AO229"/>
      <c r="AP229"/>
      <c r="AQ229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4"/>
      <c r="BN229" s="224"/>
      <c r="BO229" s="224"/>
      <c r="BP229" s="224"/>
      <c r="BQ229" s="224"/>
      <c r="BR229" s="224"/>
      <c r="BS229" s="224"/>
      <c r="BT229" s="224"/>
      <c r="BU229" s="224"/>
      <c r="BV229" s="224"/>
      <c r="BW229" s="224"/>
      <c r="BX229" s="224"/>
      <c r="BY229" s="224"/>
      <c r="BZ229" s="224"/>
      <c r="CA229" s="224"/>
      <c r="CB229" s="224"/>
      <c r="CC229" s="224"/>
      <c r="CD229" s="224"/>
      <c r="CE229" s="224"/>
      <c r="CF229" s="224"/>
      <c r="CG229" s="224"/>
      <c r="CH229" s="224"/>
    </row>
    <row r="230" spans="1:86" s="1" customFormat="1" ht="18" hidden="1" customHeight="1">
      <c r="A230" s="515"/>
      <c r="B230" s="167"/>
      <c r="C230" s="168"/>
      <c r="D230" s="169"/>
      <c r="E230" s="170"/>
      <c r="F230" s="171"/>
      <c r="G230" s="153"/>
      <c r="H230" s="154"/>
      <c r="I230" s="174"/>
      <c r="J230" s="154"/>
      <c r="K230" s="156"/>
      <c r="L230" s="153"/>
      <c r="M230" s="154"/>
      <c r="N230" s="174"/>
      <c r="O230" s="154"/>
      <c r="P230" s="156"/>
      <c r="Q230" s="153"/>
      <c r="R230" s="154"/>
      <c r="S230" s="155"/>
      <c r="T230" s="154"/>
      <c r="U230" s="156"/>
      <c r="V230" s="153"/>
      <c r="W230" s="154"/>
      <c r="X230" s="174"/>
      <c r="Y230" s="154"/>
      <c r="Z230" s="156"/>
      <c r="AA230" s="153"/>
      <c r="AB230" s="154"/>
      <c r="AC230" s="155"/>
      <c r="AD230" s="154"/>
      <c r="AE230" s="156"/>
      <c r="AF230" s="153"/>
      <c r="AG230" s="154"/>
      <c r="AH230" s="155"/>
      <c r="AI230" s="154"/>
      <c r="AJ230" s="156"/>
      <c r="AK230" s="91"/>
      <c r="AL230"/>
      <c r="AM230"/>
      <c r="AN230"/>
      <c r="AO230"/>
      <c r="AP230"/>
      <c r="AQ230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4"/>
      <c r="BN230" s="224"/>
      <c r="BO230" s="224"/>
      <c r="BP230" s="224"/>
      <c r="BQ230" s="224"/>
      <c r="BR230" s="224"/>
      <c r="BS230" s="224"/>
      <c r="BT230" s="224"/>
      <c r="BU230" s="224"/>
      <c r="BV230" s="224"/>
      <c r="BW230" s="224"/>
      <c r="BX230" s="224"/>
      <c r="BY230" s="224"/>
      <c r="BZ230" s="224"/>
      <c r="CA230" s="224"/>
      <c r="CB230" s="224"/>
      <c r="CC230" s="224"/>
      <c r="CD230" s="224"/>
      <c r="CE230" s="224"/>
      <c r="CF230" s="224"/>
      <c r="CG230" s="224"/>
      <c r="CH230" s="224"/>
    </row>
    <row r="231" spans="1:86" s="1" customFormat="1" ht="18" hidden="1" customHeight="1">
      <c r="A231" s="515"/>
      <c r="B231" s="167"/>
      <c r="C231" s="168"/>
      <c r="D231" s="169"/>
      <c r="E231" s="170"/>
      <c r="F231" s="171"/>
      <c r="G231" s="153"/>
      <c r="H231" s="154"/>
      <c r="I231" s="174"/>
      <c r="J231" s="154"/>
      <c r="K231" s="156"/>
      <c r="L231" s="153"/>
      <c r="M231" s="154"/>
      <c r="N231" s="174"/>
      <c r="O231" s="154"/>
      <c r="P231" s="156"/>
      <c r="Q231" s="153"/>
      <c r="R231" s="154"/>
      <c r="S231" s="155"/>
      <c r="T231" s="154"/>
      <c r="U231" s="156"/>
      <c r="V231" s="153"/>
      <c r="W231" s="154"/>
      <c r="X231" s="174"/>
      <c r="Y231" s="154"/>
      <c r="Z231" s="156"/>
      <c r="AA231" s="153"/>
      <c r="AB231" s="154"/>
      <c r="AC231" s="155"/>
      <c r="AD231" s="154"/>
      <c r="AE231" s="156"/>
      <c r="AF231" s="153"/>
      <c r="AG231" s="154"/>
      <c r="AH231" s="155"/>
      <c r="AI231" s="154"/>
      <c r="AJ231" s="156"/>
      <c r="AK231" s="91"/>
      <c r="AL231"/>
      <c r="AM231"/>
      <c r="AN231"/>
      <c r="AO231"/>
      <c r="AP231"/>
      <c r="AQ231"/>
      <c r="AR231" s="224"/>
      <c r="AS231" s="224"/>
      <c r="AT231" s="224"/>
      <c r="AU231" s="224"/>
      <c r="AV231" s="224"/>
      <c r="AW231" s="224"/>
      <c r="AX231" s="224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4"/>
      <c r="BN231" s="224"/>
      <c r="BO231" s="224"/>
      <c r="BP231" s="224"/>
      <c r="BQ231" s="224"/>
      <c r="BR231" s="224"/>
      <c r="BS231" s="224"/>
      <c r="BT231" s="224"/>
      <c r="BU231" s="224"/>
      <c r="BV231" s="224"/>
      <c r="BW231" s="224"/>
      <c r="BX231" s="224"/>
      <c r="BY231" s="224"/>
      <c r="BZ231" s="224"/>
      <c r="CA231" s="224"/>
      <c r="CB231" s="224"/>
      <c r="CC231" s="224"/>
      <c r="CD231" s="224"/>
      <c r="CE231" s="224"/>
      <c r="CF231" s="224"/>
      <c r="CG231" s="224"/>
      <c r="CH231" s="224"/>
    </row>
    <row r="232" spans="1:86" s="1" customFormat="1" ht="18" hidden="1" customHeight="1">
      <c r="A232" s="515"/>
      <c r="B232" s="175"/>
      <c r="C232" s="176"/>
      <c r="D232" s="177"/>
      <c r="E232" s="177"/>
      <c r="F232" s="178"/>
      <c r="G232" s="179"/>
      <c r="H232" s="180"/>
      <c r="I232" s="181"/>
      <c r="J232" s="180"/>
      <c r="K232" s="182"/>
      <c r="L232" s="179"/>
      <c r="M232" s="180"/>
      <c r="N232" s="181"/>
      <c r="O232" s="180"/>
      <c r="P232" s="182"/>
      <c r="Q232" s="179"/>
      <c r="R232" s="180"/>
      <c r="S232" s="180"/>
      <c r="T232" s="180"/>
      <c r="U232" s="182"/>
      <c r="V232" s="179"/>
      <c r="W232" s="180"/>
      <c r="X232" s="181"/>
      <c r="Y232" s="180"/>
      <c r="Z232" s="182"/>
      <c r="AA232" s="179"/>
      <c r="AB232" s="180"/>
      <c r="AC232" s="180"/>
      <c r="AD232" s="180"/>
      <c r="AE232" s="182"/>
      <c r="AF232" s="179"/>
      <c r="AG232" s="180"/>
      <c r="AH232" s="180"/>
      <c r="AI232" s="180"/>
      <c r="AJ232" s="182"/>
      <c r="AK232" s="91"/>
      <c r="AL232"/>
      <c r="AM232"/>
      <c r="AN232"/>
      <c r="AO232"/>
      <c r="AP232"/>
      <c r="AQ232"/>
      <c r="AR232" s="224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224"/>
      <c r="BN232" s="224"/>
      <c r="BO232" s="224"/>
      <c r="BP232" s="224"/>
      <c r="BQ232" s="224"/>
      <c r="BR232" s="224"/>
      <c r="BS232" s="224"/>
      <c r="BT232" s="224"/>
      <c r="BU232" s="224"/>
      <c r="BV232" s="224"/>
      <c r="BW232" s="224"/>
      <c r="BX232" s="224"/>
      <c r="BY232" s="224"/>
      <c r="BZ232" s="224"/>
      <c r="CA232" s="224"/>
      <c r="CB232" s="224"/>
      <c r="CC232" s="224"/>
      <c r="CD232" s="224"/>
      <c r="CE232" s="224"/>
      <c r="CF232" s="224"/>
      <c r="CG232" s="224"/>
      <c r="CH232" s="224"/>
    </row>
    <row r="233" spans="1:86" s="1" customFormat="1" ht="18" hidden="1" customHeight="1" thickBot="1">
      <c r="A233" s="516"/>
      <c r="B233" s="517" t="s">
        <v>9</v>
      </c>
      <c r="C233" s="518"/>
      <c r="D233" s="519"/>
      <c r="E233" s="518"/>
      <c r="F233" s="32" t="s">
        <v>10</v>
      </c>
      <c r="G233" s="520"/>
      <c r="H233" s="521"/>
      <c r="I233" s="522"/>
      <c r="J233" s="521"/>
      <c r="K233" s="183"/>
      <c r="L233" s="520"/>
      <c r="M233" s="521"/>
      <c r="N233" s="522"/>
      <c r="O233" s="521"/>
      <c r="P233" s="183"/>
      <c r="Q233" s="520"/>
      <c r="R233" s="521"/>
      <c r="S233" s="522"/>
      <c r="T233" s="521"/>
      <c r="U233" s="183"/>
      <c r="V233" s="520"/>
      <c r="W233" s="521"/>
      <c r="X233" s="522"/>
      <c r="Y233" s="521"/>
      <c r="Z233" s="183"/>
      <c r="AA233" s="520"/>
      <c r="AB233" s="521"/>
      <c r="AC233" s="522"/>
      <c r="AD233" s="521"/>
      <c r="AE233" s="183"/>
      <c r="AF233" s="520"/>
      <c r="AG233" s="521"/>
      <c r="AH233" s="522"/>
      <c r="AI233" s="521"/>
      <c r="AJ233" s="183"/>
      <c r="AK233" s="91"/>
      <c r="AL233"/>
      <c r="AM233"/>
      <c r="AN233"/>
      <c r="AO233"/>
      <c r="AP233"/>
      <c r="AQ233"/>
      <c r="AR233" s="224"/>
      <c r="AS233" s="224"/>
      <c r="AT233" s="224"/>
      <c r="AU233" s="224"/>
      <c r="AV233" s="224"/>
      <c r="AW233" s="224"/>
      <c r="AX233" s="224"/>
      <c r="AY233" s="224"/>
      <c r="AZ233" s="224"/>
      <c r="BA233" s="224"/>
      <c r="BB233" s="224"/>
      <c r="BC233" s="224"/>
      <c r="BD233" s="224"/>
      <c r="BE233" s="224"/>
      <c r="BF233" s="224"/>
      <c r="BG233" s="224"/>
      <c r="BH233" s="224"/>
      <c r="BI233" s="224"/>
      <c r="BJ233" s="224"/>
      <c r="BK233" s="224"/>
      <c r="BL233" s="224"/>
      <c r="BM233" s="224"/>
      <c r="BN233" s="224"/>
      <c r="BO233" s="224"/>
      <c r="BP233" s="224"/>
      <c r="BQ233" s="224"/>
      <c r="BR233" s="224"/>
      <c r="BS233" s="224"/>
      <c r="BT233" s="224"/>
      <c r="BU233" s="224"/>
      <c r="BV233" s="224"/>
      <c r="BW233" s="224"/>
      <c r="BX233" s="224"/>
      <c r="BY233" s="224"/>
      <c r="BZ233" s="224"/>
      <c r="CA233" s="224"/>
      <c r="CB233" s="224"/>
      <c r="CC233" s="224"/>
      <c r="CD233" s="224"/>
      <c r="CE233" s="224"/>
      <c r="CF233" s="224"/>
      <c r="CG233" s="224"/>
      <c r="CH233" s="224"/>
    </row>
    <row r="234" spans="1:86" s="1" customFormat="1" ht="18" hidden="1" customHeight="1">
      <c r="A234" s="514" t="s">
        <v>60</v>
      </c>
      <c r="B234" s="159"/>
      <c r="C234" s="160"/>
      <c r="D234" s="161"/>
      <c r="E234" s="162"/>
      <c r="F234" s="163"/>
      <c r="G234" s="148"/>
      <c r="H234" s="149"/>
      <c r="I234" s="218"/>
      <c r="J234" s="149"/>
      <c r="K234" s="166"/>
      <c r="L234" s="148"/>
      <c r="M234" s="149"/>
      <c r="N234" s="218"/>
      <c r="O234" s="149"/>
      <c r="P234" s="166"/>
      <c r="Q234" s="148"/>
      <c r="R234" s="149"/>
      <c r="S234" s="150"/>
      <c r="T234" s="149"/>
      <c r="U234" s="166"/>
      <c r="V234" s="148"/>
      <c r="W234" s="149"/>
      <c r="X234" s="218"/>
      <c r="Y234" s="149"/>
      <c r="Z234" s="166"/>
      <c r="AA234" s="148"/>
      <c r="AB234" s="149"/>
      <c r="AC234" s="150"/>
      <c r="AD234" s="149"/>
      <c r="AE234" s="166"/>
      <c r="AF234" s="148"/>
      <c r="AG234" s="149"/>
      <c r="AH234" s="150"/>
      <c r="AI234" s="149"/>
      <c r="AJ234" s="166"/>
      <c r="AK234" s="91"/>
      <c r="AL234"/>
      <c r="AM234"/>
      <c r="AN234"/>
      <c r="AO234"/>
      <c r="AP234"/>
      <c r="AQ234"/>
      <c r="AR234" s="224"/>
      <c r="AS234" s="224"/>
      <c r="AT234" s="224"/>
      <c r="AU234" s="224"/>
      <c r="AV234" s="224"/>
      <c r="AW234" s="224"/>
      <c r="AX234" s="224"/>
      <c r="AY234" s="224"/>
      <c r="AZ234" s="224"/>
      <c r="BA234" s="224"/>
      <c r="BB234" s="224"/>
      <c r="BC234" s="224"/>
      <c r="BD234" s="224"/>
      <c r="BE234" s="224"/>
      <c r="BF234" s="224"/>
      <c r="BG234" s="224"/>
      <c r="BH234" s="224"/>
      <c r="BI234" s="224"/>
      <c r="BJ234" s="224"/>
      <c r="BK234" s="224"/>
      <c r="BL234" s="224"/>
      <c r="BM234" s="224"/>
      <c r="BN234" s="224"/>
      <c r="BO234" s="224"/>
      <c r="BP234" s="224"/>
      <c r="BQ234" s="224"/>
      <c r="BR234" s="224"/>
      <c r="BS234" s="224"/>
      <c r="BT234" s="224"/>
      <c r="BU234" s="224"/>
      <c r="BV234" s="224"/>
      <c r="BW234" s="224"/>
      <c r="BX234" s="224"/>
      <c r="BY234" s="224"/>
      <c r="BZ234" s="224"/>
      <c r="CA234" s="224"/>
      <c r="CB234" s="224"/>
      <c r="CC234" s="224"/>
      <c r="CD234" s="224"/>
      <c r="CE234" s="224"/>
      <c r="CF234" s="224"/>
      <c r="CG234" s="224"/>
      <c r="CH234" s="224"/>
    </row>
    <row r="235" spans="1:86" s="1" customFormat="1" ht="18" hidden="1" customHeight="1">
      <c r="A235" s="515"/>
      <c r="B235" s="167"/>
      <c r="C235" s="168"/>
      <c r="D235" s="169"/>
      <c r="E235" s="170"/>
      <c r="F235" s="171"/>
      <c r="G235" s="153"/>
      <c r="H235" s="154"/>
      <c r="I235" s="174"/>
      <c r="J235" s="154"/>
      <c r="K235" s="156"/>
      <c r="L235" s="153"/>
      <c r="M235" s="154"/>
      <c r="N235" s="174"/>
      <c r="O235" s="154"/>
      <c r="P235" s="156"/>
      <c r="Q235" s="153"/>
      <c r="R235" s="154"/>
      <c r="S235" s="155"/>
      <c r="T235" s="154"/>
      <c r="U235" s="156"/>
      <c r="V235" s="153"/>
      <c r="W235" s="154"/>
      <c r="X235" s="174"/>
      <c r="Y235" s="154"/>
      <c r="Z235" s="156"/>
      <c r="AA235" s="153"/>
      <c r="AB235" s="154"/>
      <c r="AC235" s="155"/>
      <c r="AD235" s="154"/>
      <c r="AE235" s="156"/>
      <c r="AF235" s="153"/>
      <c r="AG235" s="154"/>
      <c r="AH235" s="155"/>
      <c r="AI235" s="154"/>
      <c r="AJ235" s="156"/>
      <c r="AK235" s="91"/>
      <c r="AL235"/>
      <c r="AM235"/>
      <c r="AN235"/>
      <c r="AO235"/>
      <c r="AP235"/>
      <c r="AQ235"/>
      <c r="AR235" s="224"/>
      <c r="AS235" s="224"/>
      <c r="AT235" s="224"/>
      <c r="AU235" s="224"/>
      <c r="AV235" s="224"/>
      <c r="AW235" s="224"/>
      <c r="AX235" s="224"/>
      <c r="AY235" s="224"/>
      <c r="AZ235" s="224"/>
      <c r="BA235" s="224"/>
      <c r="BB235" s="224"/>
      <c r="BC235" s="224"/>
      <c r="BD235" s="224"/>
      <c r="BE235" s="224"/>
      <c r="BF235" s="224"/>
      <c r="BG235" s="224"/>
      <c r="BH235" s="224"/>
      <c r="BI235" s="224"/>
      <c r="BJ235" s="224"/>
      <c r="BK235" s="224"/>
      <c r="BL235" s="224"/>
      <c r="BM235" s="224"/>
      <c r="BN235" s="224"/>
      <c r="BO235" s="224"/>
      <c r="BP235" s="224"/>
      <c r="BQ235" s="224"/>
      <c r="BR235" s="224"/>
      <c r="BS235" s="224"/>
      <c r="BT235" s="224"/>
      <c r="BU235" s="224"/>
      <c r="BV235" s="224"/>
      <c r="BW235" s="224"/>
      <c r="BX235" s="224"/>
      <c r="BY235" s="224"/>
      <c r="BZ235" s="224"/>
      <c r="CA235" s="224"/>
      <c r="CB235" s="224"/>
      <c r="CC235" s="224"/>
      <c r="CD235" s="224"/>
      <c r="CE235" s="224"/>
      <c r="CF235" s="224"/>
      <c r="CG235" s="224"/>
      <c r="CH235" s="224"/>
    </row>
    <row r="236" spans="1:86" s="1" customFormat="1" ht="18" hidden="1" customHeight="1">
      <c r="A236" s="515"/>
      <c r="B236" s="167"/>
      <c r="C236" s="168"/>
      <c r="D236" s="169"/>
      <c r="E236" s="170"/>
      <c r="F236" s="171"/>
      <c r="G236" s="153"/>
      <c r="H236" s="154"/>
      <c r="I236" s="174"/>
      <c r="J236" s="154"/>
      <c r="K236" s="156"/>
      <c r="L236" s="153"/>
      <c r="M236" s="154"/>
      <c r="N236" s="174"/>
      <c r="O236" s="154"/>
      <c r="P236" s="156"/>
      <c r="Q236" s="153"/>
      <c r="R236" s="154"/>
      <c r="S236" s="155"/>
      <c r="T236" s="154"/>
      <c r="U236" s="156"/>
      <c r="V236" s="153"/>
      <c r="W236" s="154"/>
      <c r="X236" s="174"/>
      <c r="Y236" s="154"/>
      <c r="Z236" s="156"/>
      <c r="AA236" s="153"/>
      <c r="AB236" s="154"/>
      <c r="AC236" s="155"/>
      <c r="AD236" s="154"/>
      <c r="AE236" s="156"/>
      <c r="AF236" s="153"/>
      <c r="AG236" s="154"/>
      <c r="AH236" s="155"/>
      <c r="AI236" s="154"/>
      <c r="AJ236" s="156"/>
      <c r="AK236" s="91"/>
      <c r="AL236"/>
      <c r="AM236"/>
      <c r="AN236"/>
      <c r="AO236"/>
      <c r="AP236"/>
      <c r="AQ236"/>
      <c r="AR236" s="224"/>
      <c r="AS236" s="224"/>
      <c r="AT236" s="224"/>
      <c r="AU236" s="224"/>
      <c r="AV236" s="224"/>
      <c r="AW236" s="224"/>
      <c r="AX236" s="224"/>
      <c r="AY236" s="224"/>
      <c r="AZ236" s="224"/>
      <c r="BA236" s="224"/>
      <c r="BB236" s="224"/>
      <c r="BC236" s="224"/>
      <c r="BD236" s="224"/>
      <c r="BE236" s="224"/>
      <c r="BF236" s="224"/>
      <c r="BG236" s="224"/>
      <c r="BH236" s="224"/>
      <c r="BI236" s="224"/>
      <c r="BJ236" s="224"/>
      <c r="BK236" s="224"/>
      <c r="BL236" s="224"/>
      <c r="BM236" s="224"/>
      <c r="BN236" s="224"/>
      <c r="BO236" s="224"/>
      <c r="BP236" s="224"/>
      <c r="BQ236" s="224"/>
      <c r="BR236" s="224"/>
      <c r="BS236" s="224"/>
      <c r="BT236" s="224"/>
      <c r="BU236" s="224"/>
      <c r="BV236" s="224"/>
      <c r="BW236" s="224"/>
      <c r="BX236" s="224"/>
      <c r="BY236" s="224"/>
      <c r="BZ236" s="224"/>
      <c r="CA236" s="224"/>
      <c r="CB236" s="224"/>
      <c r="CC236" s="224"/>
      <c r="CD236" s="224"/>
      <c r="CE236" s="224"/>
      <c r="CF236" s="224"/>
      <c r="CG236" s="224"/>
      <c r="CH236" s="224"/>
    </row>
    <row r="237" spans="1:86" s="1" customFormat="1" ht="18" hidden="1" customHeight="1">
      <c r="A237" s="515"/>
      <c r="B237" s="167"/>
      <c r="C237" s="168"/>
      <c r="D237" s="169"/>
      <c r="E237" s="170"/>
      <c r="F237" s="171"/>
      <c r="G237" s="153"/>
      <c r="H237" s="154"/>
      <c r="I237" s="174"/>
      <c r="J237" s="154"/>
      <c r="K237" s="156"/>
      <c r="L237" s="153"/>
      <c r="M237" s="154"/>
      <c r="N237" s="174"/>
      <c r="O237" s="154"/>
      <c r="P237" s="156"/>
      <c r="Q237" s="153"/>
      <c r="R237" s="154"/>
      <c r="S237" s="155"/>
      <c r="T237" s="154"/>
      <c r="U237" s="156"/>
      <c r="V237" s="153"/>
      <c r="W237" s="154"/>
      <c r="X237" s="174"/>
      <c r="Y237" s="154"/>
      <c r="Z237" s="156"/>
      <c r="AA237" s="153"/>
      <c r="AB237" s="154"/>
      <c r="AC237" s="155"/>
      <c r="AD237" s="154"/>
      <c r="AE237" s="156"/>
      <c r="AF237" s="153"/>
      <c r="AG237" s="154"/>
      <c r="AH237" s="155"/>
      <c r="AI237" s="154"/>
      <c r="AJ237" s="156"/>
      <c r="AK237" s="91"/>
      <c r="AL237"/>
      <c r="AM237"/>
      <c r="AN237"/>
      <c r="AO237"/>
      <c r="AP237"/>
      <c r="AQ237"/>
      <c r="AR237" s="224"/>
      <c r="AS237" s="224"/>
      <c r="AT237" s="224"/>
      <c r="AU237" s="224"/>
      <c r="AV237" s="224"/>
      <c r="AW237" s="224"/>
      <c r="AX237" s="224"/>
      <c r="AY237" s="224"/>
      <c r="AZ237" s="224"/>
      <c r="BA237" s="224"/>
      <c r="BB237" s="224"/>
      <c r="BC237" s="224"/>
      <c r="BD237" s="224"/>
      <c r="BE237" s="224"/>
      <c r="BF237" s="224"/>
      <c r="BG237" s="224"/>
      <c r="BH237" s="224"/>
      <c r="BI237" s="224"/>
      <c r="BJ237" s="224"/>
      <c r="BK237" s="224"/>
      <c r="BL237" s="224"/>
      <c r="BM237" s="224"/>
      <c r="BN237" s="224"/>
      <c r="BO237" s="224"/>
      <c r="BP237" s="224"/>
      <c r="BQ237" s="224"/>
      <c r="BR237" s="224"/>
      <c r="BS237" s="224"/>
      <c r="BT237" s="224"/>
      <c r="BU237" s="224"/>
      <c r="BV237" s="224"/>
      <c r="BW237" s="224"/>
      <c r="BX237" s="224"/>
      <c r="BY237" s="224"/>
      <c r="BZ237" s="224"/>
      <c r="CA237" s="224"/>
      <c r="CB237" s="224"/>
      <c r="CC237" s="224"/>
      <c r="CD237" s="224"/>
      <c r="CE237" s="224"/>
      <c r="CF237" s="224"/>
      <c r="CG237" s="224"/>
      <c r="CH237" s="224"/>
    </row>
    <row r="238" spans="1:86" s="1" customFormat="1" ht="18" hidden="1" customHeight="1">
      <c r="A238" s="515"/>
      <c r="B238" s="167"/>
      <c r="C238" s="168"/>
      <c r="D238" s="169"/>
      <c r="E238" s="170"/>
      <c r="F238" s="171"/>
      <c r="G238" s="153"/>
      <c r="H238" s="154"/>
      <c r="I238" s="174"/>
      <c r="J238" s="154"/>
      <c r="K238" s="156"/>
      <c r="L238" s="153"/>
      <c r="M238" s="154"/>
      <c r="N238" s="174"/>
      <c r="O238" s="154"/>
      <c r="P238" s="156"/>
      <c r="Q238" s="153"/>
      <c r="R238" s="154"/>
      <c r="S238" s="155"/>
      <c r="T238" s="154"/>
      <c r="U238" s="156"/>
      <c r="V238" s="153"/>
      <c r="W238" s="154"/>
      <c r="X238" s="174"/>
      <c r="Y238" s="154"/>
      <c r="Z238" s="156"/>
      <c r="AA238" s="153"/>
      <c r="AB238" s="154"/>
      <c r="AC238" s="155"/>
      <c r="AD238" s="154"/>
      <c r="AE238" s="156"/>
      <c r="AF238" s="153"/>
      <c r="AG238" s="154"/>
      <c r="AH238" s="155"/>
      <c r="AI238" s="154"/>
      <c r="AJ238" s="156"/>
      <c r="AK238" s="91"/>
      <c r="AL238"/>
      <c r="AM238"/>
      <c r="AN238"/>
      <c r="AO238"/>
      <c r="AP238"/>
      <c r="AQ238"/>
      <c r="AR238" s="224"/>
      <c r="AS238" s="224"/>
      <c r="AT238" s="224"/>
      <c r="AU238" s="224"/>
      <c r="AV238" s="224"/>
      <c r="AW238" s="224"/>
      <c r="AX238" s="224"/>
      <c r="AY238" s="224"/>
      <c r="AZ238" s="224"/>
      <c r="BA238" s="224"/>
      <c r="BB238" s="224"/>
      <c r="BC238" s="224"/>
      <c r="BD238" s="224"/>
      <c r="BE238" s="224"/>
      <c r="BF238" s="224"/>
      <c r="BG238" s="224"/>
      <c r="BH238" s="224"/>
      <c r="BI238" s="224"/>
      <c r="BJ238" s="224"/>
      <c r="BK238" s="224"/>
      <c r="BL238" s="224"/>
      <c r="BM238" s="224"/>
      <c r="BN238" s="224"/>
      <c r="BO238" s="224"/>
      <c r="BP238" s="224"/>
      <c r="BQ238" s="224"/>
      <c r="BR238" s="224"/>
      <c r="BS238" s="224"/>
      <c r="BT238" s="224"/>
      <c r="BU238" s="224"/>
      <c r="BV238" s="224"/>
      <c r="BW238" s="224"/>
      <c r="BX238" s="224"/>
      <c r="BY238" s="224"/>
      <c r="BZ238" s="224"/>
      <c r="CA238" s="224"/>
      <c r="CB238" s="224"/>
      <c r="CC238" s="224"/>
      <c r="CD238" s="224"/>
      <c r="CE238" s="224"/>
      <c r="CF238" s="224"/>
      <c r="CG238" s="224"/>
      <c r="CH238" s="224"/>
    </row>
    <row r="239" spans="1:86" s="1" customFormat="1" ht="18" hidden="1" customHeight="1">
      <c r="A239" s="515"/>
      <c r="B239" s="167"/>
      <c r="C239" s="168"/>
      <c r="D239" s="169"/>
      <c r="E239" s="170"/>
      <c r="F239" s="171"/>
      <c r="G239" s="153"/>
      <c r="H239" s="154"/>
      <c r="I239" s="174"/>
      <c r="J239" s="154"/>
      <c r="K239" s="156"/>
      <c r="L239" s="153"/>
      <c r="M239" s="154"/>
      <c r="N239" s="174"/>
      <c r="O239" s="154"/>
      <c r="P239" s="156"/>
      <c r="Q239" s="153"/>
      <c r="R239" s="154"/>
      <c r="S239" s="155"/>
      <c r="T239" s="154"/>
      <c r="U239" s="156"/>
      <c r="V239" s="153"/>
      <c r="W239" s="154"/>
      <c r="X239" s="174"/>
      <c r="Y239" s="154"/>
      <c r="Z239" s="156"/>
      <c r="AA239" s="153"/>
      <c r="AB239" s="154"/>
      <c r="AC239" s="155"/>
      <c r="AD239" s="154"/>
      <c r="AE239" s="156"/>
      <c r="AF239" s="153"/>
      <c r="AG239" s="154"/>
      <c r="AH239" s="155"/>
      <c r="AI239" s="154"/>
      <c r="AJ239" s="156"/>
      <c r="AK239" s="91"/>
      <c r="AL239"/>
      <c r="AM239"/>
      <c r="AN239"/>
      <c r="AO239"/>
      <c r="AP239"/>
      <c r="AQ239"/>
      <c r="AR239" s="224"/>
      <c r="AS239" s="224"/>
      <c r="AT239" s="224"/>
      <c r="AU239" s="224"/>
      <c r="AV239" s="224"/>
      <c r="AW239" s="224"/>
      <c r="AX239" s="224"/>
      <c r="AY239" s="224"/>
      <c r="AZ239" s="224"/>
      <c r="BA239" s="224"/>
      <c r="BB239" s="224"/>
      <c r="BC239" s="224"/>
      <c r="BD239" s="224"/>
      <c r="BE239" s="224"/>
      <c r="BF239" s="224"/>
      <c r="BG239" s="224"/>
      <c r="BH239" s="224"/>
      <c r="BI239" s="224"/>
      <c r="BJ239" s="224"/>
      <c r="BK239" s="224"/>
      <c r="BL239" s="224"/>
      <c r="BM239" s="224"/>
      <c r="BN239" s="224"/>
      <c r="BO239" s="224"/>
      <c r="BP239" s="224"/>
      <c r="BQ239" s="224"/>
      <c r="BR239" s="224"/>
      <c r="BS239" s="224"/>
      <c r="BT239" s="224"/>
      <c r="BU239" s="224"/>
      <c r="BV239" s="224"/>
      <c r="BW239" s="224"/>
      <c r="BX239" s="224"/>
      <c r="BY239" s="224"/>
      <c r="BZ239" s="224"/>
      <c r="CA239" s="224"/>
      <c r="CB239" s="224"/>
      <c r="CC239" s="224"/>
      <c r="CD239" s="224"/>
      <c r="CE239" s="224"/>
      <c r="CF239" s="224"/>
      <c r="CG239" s="224"/>
      <c r="CH239" s="224"/>
    </row>
    <row r="240" spans="1:86" s="1" customFormat="1" ht="18" hidden="1" customHeight="1">
      <c r="A240" s="515"/>
      <c r="B240" s="167"/>
      <c r="C240" s="168"/>
      <c r="D240" s="169"/>
      <c r="E240" s="170"/>
      <c r="F240" s="171"/>
      <c r="G240" s="153"/>
      <c r="H240" s="154"/>
      <c r="I240" s="174"/>
      <c r="J240" s="154"/>
      <c r="K240" s="156"/>
      <c r="L240" s="153"/>
      <c r="M240" s="154"/>
      <c r="N240" s="174"/>
      <c r="O240" s="154"/>
      <c r="P240" s="156"/>
      <c r="Q240" s="153"/>
      <c r="R240" s="154"/>
      <c r="S240" s="155"/>
      <c r="T240" s="154"/>
      <c r="U240" s="156"/>
      <c r="V240" s="153"/>
      <c r="W240" s="154"/>
      <c r="X240" s="174"/>
      <c r="Y240" s="154"/>
      <c r="Z240" s="156"/>
      <c r="AA240" s="153"/>
      <c r="AB240" s="154"/>
      <c r="AC240" s="155"/>
      <c r="AD240" s="154"/>
      <c r="AE240" s="156"/>
      <c r="AF240" s="153"/>
      <c r="AG240" s="154"/>
      <c r="AH240" s="155"/>
      <c r="AI240" s="154"/>
      <c r="AJ240" s="156"/>
      <c r="AK240" s="91"/>
      <c r="AL240"/>
      <c r="AM240"/>
      <c r="AN240"/>
      <c r="AO240"/>
      <c r="AP240"/>
      <c r="AQ240"/>
      <c r="AR240" s="224"/>
      <c r="AS240" s="224"/>
      <c r="AT240" s="224"/>
      <c r="AU240" s="224"/>
      <c r="AV240" s="224"/>
      <c r="AW240" s="224"/>
      <c r="AX240" s="224"/>
      <c r="AY240" s="224"/>
      <c r="AZ240" s="224"/>
      <c r="BA240" s="224"/>
      <c r="BB240" s="224"/>
      <c r="BC240" s="224"/>
      <c r="BD240" s="224"/>
      <c r="BE240" s="224"/>
      <c r="BF240" s="224"/>
      <c r="BG240" s="224"/>
      <c r="BH240" s="224"/>
      <c r="BI240" s="224"/>
      <c r="BJ240" s="224"/>
      <c r="BK240" s="224"/>
      <c r="BL240" s="224"/>
      <c r="BM240" s="224"/>
      <c r="BN240" s="224"/>
      <c r="BO240" s="224"/>
      <c r="BP240" s="224"/>
      <c r="BQ240" s="224"/>
      <c r="BR240" s="224"/>
      <c r="BS240" s="224"/>
      <c r="BT240" s="224"/>
      <c r="BU240" s="224"/>
      <c r="BV240" s="224"/>
      <c r="BW240" s="224"/>
      <c r="BX240" s="224"/>
      <c r="BY240" s="224"/>
      <c r="BZ240" s="224"/>
      <c r="CA240" s="224"/>
      <c r="CB240" s="224"/>
      <c r="CC240" s="224"/>
      <c r="CD240" s="224"/>
      <c r="CE240" s="224"/>
      <c r="CF240" s="224"/>
      <c r="CG240" s="224"/>
      <c r="CH240" s="224"/>
    </row>
    <row r="241" spans="1:86" ht="18.75" hidden="1" customHeight="1">
      <c r="A241" s="515"/>
      <c r="B241" s="167"/>
      <c r="C241" s="168"/>
      <c r="D241" s="169"/>
      <c r="E241" s="170"/>
      <c r="F241" s="171"/>
      <c r="G241" s="153"/>
      <c r="H241" s="154"/>
      <c r="I241" s="174"/>
      <c r="J241" s="154"/>
      <c r="K241" s="156"/>
      <c r="L241" s="153"/>
      <c r="M241" s="154"/>
      <c r="N241" s="174"/>
      <c r="O241" s="154"/>
      <c r="P241" s="156"/>
      <c r="Q241" s="153"/>
      <c r="R241" s="154"/>
      <c r="S241" s="155"/>
      <c r="T241" s="154"/>
      <c r="U241" s="156"/>
      <c r="V241" s="153"/>
      <c r="W241" s="154"/>
      <c r="X241" s="174"/>
      <c r="Y241" s="154"/>
      <c r="Z241" s="156"/>
      <c r="AA241" s="153"/>
      <c r="AB241" s="154"/>
      <c r="AC241" s="155"/>
      <c r="AD241" s="154"/>
      <c r="AE241" s="156"/>
      <c r="AF241" s="153"/>
      <c r="AG241" s="154"/>
      <c r="AH241" s="155"/>
      <c r="AI241" s="154"/>
      <c r="AJ241" s="156"/>
      <c r="AK241" s="7"/>
    </row>
    <row r="242" spans="1:86" ht="18.75" hidden="1" customHeight="1">
      <c r="A242" s="515"/>
      <c r="B242" s="167"/>
      <c r="C242" s="168"/>
      <c r="D242" s="169"/>
      <c r="E242" s="170"/>
      <c r="F242" s="171"/>
      <c r="G242" s="153"/>
      <c r="H242" s="154"/>
      <c r="I242" s="174"/>
      <c r="J242" s="154"/>
      <c r="K242" s="156"/>
      <c r="L242" s="153"/>
      <c r="M242" s="154"/>
      <c r="N242" s="174"/>
      <c r="O242" s="154"/>
      <c r="P242" s="156"/>
      <c r="Q242" s="153"/>
      <c r="R242" s="154"/>
      <c r="S242" s="155"/>
      <c r="T242" s="154"/>
      <c r="U242" s="156"/>
      <c r="V242" s="153"/>
      <c r="W242" s="154"/>
      <c r="X242" s="174"/>
      <c r="Y242" s="154"/>
      <c r="Z242" s="156"/>
      <c r="AA242" s="153"/>
      <c r="AB242" s="154"/>
      <c r="AC242" s="155"/>
      <c r="AD242" s="154"/>
      <c r="AE242" s="156"/>
      <c r="AF242" s="153"/>
      <c r="AG242" s="154"/>
      <c r="AH242" s="155"/>
      <c r="AI242" s="154"/>
      <c r="AJ242" s="156"/>
      <c r="AK242" s="7"/>
    </row>
    <row r="243" spans="1:86" ht="18.75" hidden="1" customHeight="1">
      <c r="A243" s="515"/>
      <c r="B243" s="167"/>
      <c r="C243" s="168"/>
      <c r="D243" s="169"/>
      <c r="E243" s="170"/>
      <c r="F243" s="171"/>
      <c r="G243" s="153"/>
      <c r="H243" s="154"/>
      <c r="I243" s="174"/>
      <c r="J243" s="154"/>
      <c r="K243" s="156"/>
      <c r="L243" s="153"/>
      <c r="M243" s="154"/>
      <c r="N243" s="174"/>
      <c r="O243" s="154"/>
      <c r="P243" s="156"/>
      <c r="Q243" s="153"/>
      <c r="R243" s="154"/>
      <c r="S243" s="155"/>
      <c r="T243" s="154"/>
      <c r="U243" s="156"/>
      <c r="V243" s="153"/>
      <c r="W243" s="154"/>
      <c r="X243" s="174"/>
      <c r="Y243" s="154"/>
      <c r="Z243" s="156"/>
      <c r="AA243" s="153"/>
      <c r="AB243" s="154"/>
      <c r="AC243" s="155"/>
      <c r="AD243" s="154"/>
      <c r="AE243" s="156"/>
      <c r="AF243" s="153"/>
      <c r="AG243" s="154"/>
      <c r="AH243" s="155"/>
      <c r="AI243" s="154"/>
      <c r="AJ243" s="156"/>
      <c r="AK243" s="7"/>
    </row>
    <row r="244" spans="1:86" ht="18.75" hidden="1" customHeight="1">
      <c r="A244" s="515"/>
      <c r="B244" s="167"/>
      <c r="C244" s="168"/>
      <c r="D244" s="169"/>
      <c r="E244" s="170"/>
      <c r="F244" s="171"/>
      <c r="G244" s="153"/>
      <c r="H244" s="154"/>
      <c r="I244" s="174"/>
      <c r="J244" s="154"/>
      <c r="K244" s="156"/>
      <c r="L244" s="153"/>
      <c r="M244" s="154"/>
      <c r="N244" s="174"/>
      <c r="O244" s="154"/>
      <c r="P244" s="156"/>
      <c r="Q244" s="153"/>
      <c r="R244" s="154"/>
      <c r="S244" s="155"/>
      <c r="T244" s="154"/>
      <c r="U244" s="156"/>
      <c r="V244" s="153"/>
      <c r="W244" s="154"/>
      <c r="X244" s="174"/>
      <c r="Y244" s="154"/>
      <c r="Z244" s="156"/>
      <c r="AA244" s="153"/>
      <c r="AB244" s="154"/>
      <c r="AC244" s="155"/>
      <c r="AD244" s="154"/>
      <c r="AE244" s="156"/>
      <c r="AF244" s="153"/>
      <c r="AG244" s="154"/>
      <c r="AH244" s="155"/>
      <c r="AI244" s="154"/>
      <c r="AJ244" s="156"/>
      <c r="AK244" s="7"/>
    </row>
    <row r="245" spans="1:86" ht="18.75" hidden="1" customHeight="1">
      <c r="A245" s="515"/>
      <c r="B245" s="167"/>
      <c r="C245" s="168"/>
      <c r="D245" s="169"/>
      <c r="E245" s="170"/>
      <c r="F245" s="171"/>
      <c r="G245" s="153"/>
      <c r="H245" s="154"/>
      <c r="I245" s="174"/>
      <c r="J245" s="154"/>
      <c r="K245" s="156"/>
      <c r="L245" s="153"/>
      <c r="M245" s="154"/>
      <c r="N245" s="174"/>
      <c r="O245" s="154"/>
      <c r="P245" s="156"/>
      <c r="Q245" s="153"/>
      <c r="R245" s="154"/>
      <c r="S245" s="155"/>
      <c r="T245" s="154"/>
      <c r="U245" s="156"/>
      <c r="V245" s="153"/>
      <c r="W245" s="154"/>
      <c r="X245" s="174"/>
      <c r="Y245" s="154"/>
      <c r="Z245" s="156"/>
      <c r="AA245" s="153"/>
      <c r="AB245" s="154"/>
      <c r="AC245" s="155"/>
      <c r="AD245" s="154"/>
      <c r="AE245" s="156"/>
      <c r="AF245" s="153"/>
      <c r="AG245" s="154"/>
      <c r="AH245" s="155"/>
      <c r="AI245" s="154"/>
      <c r="AJ245" s="156"/>
      <c r="AK245" s="7"/>
    </row>
    <row r="246" spans="1:86" ht="18.75" hidden="1" customHeight="1">
      <c r="A246" s="515"/>
      <c r="B246" s="167"/>
      <c r="C246" s="168"/>
      <c r="D246" s="169"/>
      <c r="E246" s="170"/>
      <c r="F246" s="171"/>
      <c r="G246" s="153"/>
      <c r="H246" s="154"/>
      <c r="I246" s="174"/>
      <c r="J246" s="154"/>
      <c r="K246" s="156"/>
      <c r="L246" s="153"/>
      <c r="M246" s="154"/>
      <c r="N246" s="174"/>
      <c r="O246" s="154"/>
      <c r="P246" s="156"/>
      <c r="Q246" s="153"/>
      <c r="R246" s="154"/>
      <c r="S246" s="155"/>
      <c r="T246" s="154"/>
      <c r="U246" s="156"/>
      <c r="V246" s="153"/>
      <c r="W246" s="154"/>
      <c r="X246" s="174"/>
      <c r="Y246" s="154"/>
      <c r="Z246" s="156"/>
      <c r="AA246" s="153"/>
      <c r="AB246" s="154"/>
      <c r="AC246" s="155"/>
      <c r="AD246" s="154"/>
      <c r="AE246" s="156"/>
      <c r="AF246" s="153"/>
      <c r="AG246" s="154"/>
      <c r="AH246" s="155"/>
      <c r="AI246" s="154"/>
      <c r="AJ246" s="156"/>
      <c r="AK246" s="7"/>
    </row>
    <row r="247" spans="1:86" ht="18.75" hidden="1" customHeight="1">
      <c r="A247" s="515"/>
      <c r="B247" s="167"/>
      <c r="C247" s="168"/>
      <c r="D247" s="169"/>
      <c r="E247" s="170"/>
      <c r="F247" s="171"/>
      <c r="G247" s="153"/>
      <c r="H247" s="154"/>
      <c r="I247" s="174"/>
      <c r="J247" s="154"/>
      <c r="K247" s="156"/>
      <c r="L247" s="153"/>
      <c r="M247" s="154"/>
      <c r="N247" s="174"/>
      <c r="O247" s="154"/>
      <c r="P247" s="156"/>
      <c r="Q247" s="153"/>
      <c r="R247" s="154"/>
      <c r="S247" s="155"/>
      <c r="T247" s="154"/>
      <c r="U247" s="156"/>
      <c r="V247" s="153"/>
      <c r="W247" s="154"/>
      <c r="X247" s="174"/>
      <c r="Y247" s="154"/>
      <c r="Z247" s="156"/>
      <c r="AA247" s="153"/>
      <c r="AB247" s="154"/>
      <c r="AC247" s="155"/>
      <c r="AD247" s="154"/>
      <c r="AE247" s="156"/>
      <c r="AF247" s="153"/>
      <c r="AG247" s="154"/>
      <c r="AH247" s="155"/>
      <c r="AI247" s="154"/>
      <c r="AJ247" s="156"/>
      <c r="AK247" s="7"/>
    </row>
    <row r="248" spans="1:86" ht="18.75" hidden="1" customHeight="1">
      <c r="A248" s="515"/>
      <c r="B248" s="175"/>
      <c r="C248" s="176"/>
      <c r="D248" s="177"/>
      <c r="E248" s="177"/>
      <c r="F248" s="178"/>
      <c r="G248" s="179"/>
      <c r="H248" s="180"/>
      <c r="I248" s="181"/>
      <c r="J248" s="180"/>
      <c r="K248" s="182"/>
      <c r="L248" s="179"/>
      <c r="M248" s="180"/>
      <c r="N248" s="181"/>
      <c r="O248" s="180"/>
      <c r="P248" s="182"/>
      <c r="Q248" s="179"/>
      <c r="R248" s="180"/>
      <c r="S248" s="180"/>
      <c r="T248" s="180"/>
      <c r="U248" s="182"/>
      <c r="V248" s="179"/>
      <c r="W248" s="180"/>
      <c r="X248" s="181"/>
      <c r="Y248" s="180"/>
      <c r="Z248" s="182"/>
      <c r="AA248" s="179"/>
      <c r="AB248" s="180"/>
      <c r="AC248" s="180"/>
      <c r="AD248" s="180"/>
      <c r="AE248" s="182"/>
      <c r="AF248" s="179"/>
      <c r="AG248" s="180"/>
      <c r="AH248" s="180"/>
      <c r="AI248" s="180"/>
      <c r="AJ248" s="182"/>
      <c r="AK248" s="7"/>
    </row>
    <row r="249" spans="1:86" ht="18.75" hidden="1" customHeight="1" thickBot="1">
      <c r="A249" s="516"/>
      <c r="B249" s="517" t="s">
        <v>9</v>
      </c>
      <c r="C249" s="518"/>
      <c r="D249" s="519"/>
      <c r="E249" s="518"/>
      <c r="F249" s="32" t="s">
        <v>10</v>
      </c>
      <c r="G249" s="520"/>
      <c r="H249" s="521"/>
      <c r="I249" s="522"/>
      <c r="J249" s="521"/>
      <c r="K249" s="183"/>
      <c r="L249" s="520"/>
      <c r="M249" s="521"/>
      <c r="N249" s="522"/>
      <c r="O249" s="521"/>
      <c r="P249" s="183"/>
      <c r="Q249" s="520"/>
      <c r="R249" s="521"/>
      <c r="S249" s="522"/>
      <c r="T249" s="521"/>
      <c r="U249" s="183"/>
      <c r="V249" s="520"/>
      <c r="W249" s="521"/>
      <c r="X249" s="522"/>
      <c r="Y249" s="521"/>
      <c r="Z249" s="183"/>
      <c r="AA249" s="520"/>
      <c r="AB249" s="521"/>
      <c r="AC249" s="522"/>
      <c r="AD249" s="521"/>
      <c r="AE249" s="183"/>
      <c r="AF249" s="520"/>
      <c r="AG249" s="521"/>
      <c r="AH249" s="522"/>
      <c r="AI249" s="521"/>
      <c r="AJ249" s="183"/>
      <c r="AK249" s="7"/>
    </row>
    <row r="250" spans="1:86" s="1" customFormat="1" ht="18" customHeight="1">
      <c r="A250" s="234"/>
      <c r="B250" s="235"/>
      <c r="C250" s="236"/>
      <c r="D250" s="237"/>
      <c r="E250" s="238"/>
      <c r="F250" s="239"/>
      <c r="G250" s="240"/>
      <c r="H250" s="236"/>
      <c r="I250" s="271"/>
      <c r="J250" s="242"/>
      <c r="K250" s="243"/>
      <c r="L250" s="240"/>
      <c r="M250" s="236" t="s">
        <v>116</v>
      </c>
      <c r="N250" s="241"/>
      <c r="O250" s="236"/>
      <c r="P250" s="243"/>
      <c r="Q250" s="240"/>
      <c r="R250" s="236"/>
      <c r="S250" s="241"/>
      <c r="T250" s="236"/>
      <c r="U250" s="243"/>
      <c r="V250" s="240"/>
      <c r="W250" s="236" t="s">
        <v>116</v>
      </c>
      <c r="X250" s="271"/>
      <c r="Y250" s="242"/>
      <c r="Z250" s="243"/>
      <c r="AA250" s="240"/>
      <c r="AB250" s="236"/>
      <c r="AC250" s="241"/>
      <c r="AD250" s="236"/>
      <c r="AE250" s="243"/>
      <c r="AF250" s="240"/>
      <c r="AG250" s="244"/>
      <c r="AH250" s="245"/>
      <c r="AI250" s="244"/>
      <c r="AJ250" s="243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</row>
    <row r="251" spans="1:86" s="1" customFormat="1" ht="18" customHeight="1">
      <c r="A251" s="234"/>
      <c r="B251" s="235"/>
      <c r="C251" s="236"/>
      <c r="D251" s="237"/>
      <c r="E251" s="238"/>
      <c r="F251" s="239"/>
      <c r="G251" s="235"/>
      <c r="H251" s="236"/>
      <c r="I251" s="271"/>
      <c r="J251" s="242"/>
      <c r="K251" s="239"/>
      <c r="L251" s="235"/>
      <c r="M251" s="236" t="s">
        <v>117</v>
      </c>
      <c r="N251" s="241"/>
      <c r="O251" s="236"/>
      <c r="P251" s="239"/>
      <c r="Q251" s="235"/>
      <c r="R251" s="236"/>
      <c r="S251" s="241"/>
      <c r="T251" s="236"/>
      <c r="U251" s="243"/>
      <c r="V251" s="240"/>
      <c r="W251" s="236" t="s">
        <v>117</v>
      </c>
      <c r="X251" s="271"/>
      <c r="Y251" s="242"/>
      <c r="Z251" s="243"/>
      <c r="AA251" s="240"/>
      <c r="AB251" s="236"/>
      <c r="AC251" s="241"/>
      <c r="AD251" s="236"/>
      <c r="AE251" s="243"/>
      <c r="AF251" s="235"/>
      <c r="AG251" s="236"/>
      <c r="AH251" s="237"/>
      <c r="AI251" s="238"/>
      <c r="AJ251" s="239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</row>
    <row r="252" spans="1:86" s="1" customFormat="1" ht="18" customHeight="1">
      <c r="A252" s="234"/>
      <c r="B252" s="235"/>
      <c r="C252" s="236"/>
      <c r="D252" s="237"/>
      <c r="E252" s="238"/>
      <c r="F252" s="239"/>
      <c r="G252" s="235"/>
      <c r="H252" s="236"/>
      <c r="I252" s="271"/>
      <c r="J252" s="242"/>
      <c r="K252" s="239"/>
      <c r="L252" s="235"/>
      <c r="M252" s="236" t="s">
        <v>118</v>
      </c>
      <c r="N252" s="241"/>
      <c r="O252" s="236"/>
      <c r="P252" s="239"/>
      <c r="Q252" s="235"/>
      <c r="R252" s="236"/>
      <c r="S252" s="241"/>
      <c r="T252" s="236"/>
      <c r="U252" s="243"/>
      <c r="V252" s="240"/>
      <c r="W252" s="236" t="s">
        <v>118</v>
      </c>
      <c r="X252" s="271"/>
      <c r="Y252" s="242"/>
      <c r="Z252" s="243"/>
      <c r="AA252" s="240"/>
      <c r="AB252" s="236"/>
      <c r="AC252" s="241"/>
      <c r="AD252" s="236"/>
      <c r="AE252" s="243"/>
      <c r="AF252" s="235"/>
      <c r="AG252" s="236"/>
      <c r="AH252" s="237"/>
      <c r="AI252" s="238"/>
      <c r="AJ252" s="239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</row>
    <row r="253" spans="1:86" s="1" customFormat="1" ht="18" customHeight="1" thickBot="1">
      <c r="A253" s="234"/>
      <c r="B253" s="235"/>
      <c r="C253" s="236"/>
      <c r="D253" s="237"/>
      <c r="E253" s="238"/>
      <c r="F253" s="239"/>
      <c r="G253" s="246"/>
      <c r="H253" s="247"/>
      <c r="I253" s="272"/>
      <c r="J253" s="249"/>
      <c r="K253" s="250"/>
      <c r="L253" s="246"/>
      <c r="M253" s="247" t="s">
        <v>119</v>
      </c>
      <c r="N253" s="248"/>
      <c r="O253" s="247"/>
      <c r="P253" s="250"/>
      <c r="Q253" s="246"/>
      <c r="R253" s="247"/>
      <c r="S253" s="248"/>
      <c r="T253" s="247"/>
      <c r="U253" s="252"/>
      <c r="V253" s="251"/>
      <c r="W253" s="247" t="s">
        <v>119</v>
      </c>
      <c r="X253" s="272"/>
      <c r="Y253" s="249"/>
      <c r="Z253" s="252"/>
      <c r="AA253" s="251"/>
      <c r="AB253" s="247"/>
      <c r="AC253" s="248"/>
      <c r="AD253" s="247"/>
      <c r="AE253" s="252"/>
      <c r="AF253" s="235"/>
      <c r="AG253" s="236"/>
      <c r="AH253" s="237"/>
      <c r="AI253" s="238"/>
      <c r="AJ253" s="239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</row>
    <row r="254" spans="1:86" s="224" customFormat="1" ht="18" customHeight="1">
      <c r="A254" s="514" t="s">
        <v>69</v>
      </c>
      <c r="B254" s="631" t="s">
        <v>36</v>
      </c>
      <c r="C254" s="632"/>
      <c r="D254" s="219" t="s">
        <v>70</v>
      </c>
      <c r="E254" s="629" t="s">
        <v>71</v>
      </c>
      <c r="F254" s="630"/>
      <c r="G254" s="631" t="s">
        <v>36</v>
      </c>
      <c r="H254" s="632"/>
      <c r="I254" s="219" t="s">
        <v>70</v>
      </c>
      <c r="J254" s="629" t="s">
        <v>71</v>
      </c>
      <c r="K254" s="630"/>
      <c r="L254" s="631" t="s">
        <v>36</v>
      </c>
      <c r="M254" s="632"/>
      <c r="N254" s="219" t="s">
        <v>70</v>
      </c>
      <c r="O254" s="629" t="s">
        <v>71</v>
      </c>
      <c r="P254" s="630"/>
      <c r="Q254" s="631" t="s">
        <v>36</v>
      </c>
      <c r="R254" s="632"/>
      <c r="S254" s="219" t="s">
        <v>70</v>
      </c>
      <c r="T254" s="629" t="s">
        <v>71</v>
      </c>
      <c r="U254" s="630"/>
      <c r="V254" s="631" t="s">
        <v>36</v>
      </c>
      <c r="W254" s="632"/>
      <c r="X254" s="219" t="s">
        <v>70</v>
      </c>
      <c r="Y254" s="629" t="s">
        <v>71</v>
      </c>
      <c r="Z254" s="630"/>
      <c r="AA254" s="631" t="s">
        <v>36</v>
      </c>
      <c r="AB254" s="632"/>
      <c r="AC254" s="219" t="s">
        <v>70</v>
      </c>
      <c r="AD254" s="629" t="s">
        <v>71</v>
      </c>
      <c r="AE254" s="630"/>
      <c r="AF254" s="631" t="s">
        <v>36</v>
      </c>
      <c r="AG254" s="632"/>
      <c r="AH254" s="219" t="s">
        <v>70</v>
      </c>
      <c r="AI254" s="629" t="s">
        <v>71</v>
      </c>
      <c r="AJ254" s="630"/>
      <c r="AK254" s="91"/>
      <c r="AL254"/>
      <c r="AM254"/>
      <c r="AN254"/>
      <c r="AO254"/>
      <c r="AP254"/>
      <c r="AQ254"/>
    </row>
    <row r="255" spans="1:86" s="224" customFormat="1" ht="18" customHeight="1">
      <c r="A255" s="527"/>
      <c r="B255" s="633"/>
      <c r="C255" s="634"/>
      <c r="D255" s="220"/>
      <c r="E255" s="623"/>
      <c r="F255" s="624"/>
      <c r="G255" s="633"/>
      <c r="H255" s="634"/>
      <c r="I255" s="220"/>
      <c r="J255" s="623"/>
      <c r="K255" s="624"/>
      <c r="L255" s="633"/>
      <c r="M255" s="634"/>
      <c r="N255" s="220"/>
      <c r="O255" s="623"/>
      <c r="P255" s="624"/>
      <c r="Q255" s="633"/>
      <c r="R255" s="634"/>
      <c r="S255" s="220"/>
      <c r="T255" s="623"/>
      <c r="U255" s="624"/>
      <c r="V255" s="633"/>
      <c r="W255" s="634"/>
      <c r="X255" s="220"/>
      <c r="Y255" s="623"/>
      <c r="Z255" s="624"/>
      <c r="AA255" s="633"/>
      <c r="AB255" s="634"/>
      <c r="AC255" s="220"/>
      <c r="AD255" s="623"/>
      <c r="AE255" s="624"/>
      <c r="AF255" s="633"/>
      <c r="AG255" s="634"/>
      <c r="AH255" s="220"/>
      <c r="AI255" s="623"/>
      <c r="AJ255" s="624"/>
      <c r="AK255" s="91"/>
      <c r="AL255"/>
      <c r="AM255"/>
      <c r="AN255"/>
      <c r="AO255"/>
      <c r="AP255"/>
      <c r="AQ255"/>
    </row>
    <row r="256" spans="1:86" s="224" customFormat="1" ht="18" customHeight="1">
      <c r="A256" s="527"/>
      <c r="B256" s="625" t="s">
        <v>34</v>
      </c>
      <c r="C256" s="626"/>
      <c r="D256" s="221" t="s">
        <v>72</v>
      </c>
      <c r="E256" s="627" t="s">
        <v>73</v>
      </c>
      <c r="F256" s="628"/>
      <c r="G256" s="625" t="s">
        <v>34</v>
      </c>
      <c r="H256" s="626"/>
      <c r="I256" s="221" t="s">
        <v>72</v>
      </c>
      <c r="J256" s="627" t="s">
        <v>73</v>
      </c>
      <c r="K256" s="628"/>
      <c r="L256" s="625" t="s">
        <v>34</v>
      </c>
      <c r="M256" s="626"/>
      <c r="N256" s="221" t="s">
        <v>72</v>
      </c>
      <c r="O256" s="627" t="s">
        <v>73</v>
      </c>
      <c r="P256" s="628"/>
      <c r="Q256" s="625" t="s">
        <v>34</v>
      </c>
      <c r="R256" s="626"/>
      <c r="S256" s="221" t="s">
        <v>72</v>
      </c>
      <c r="T256" s="627" t="s">
        <v>73</v>
      </c>
      <c r="U256" s="628"/>
      <c r="V256" s="625" t="s">
        <v>34</v>
      </c>
      <c r="W256" s="626"/>
      <c r="X256" s="221" t="s">
        <v>72</v>
      </c>
      <c r="Y256" s="627" t="s">
        <v>73</v>
      </c>
      <c r="Z256" s="628"/>
      <c r="AA256" s="625" t="s">
        <v>34</v>
      </c>
      <c r="AB256" s="626"/>
      <c r="AC256" s="221" t="s">
        <v>72</v>
      </c>
      <c r="AD256" s="627" t="s">
        <v>73</v>
      </c>
      <c r="AE256" s="628"/>
      <c r="AF256" s="625" t="s">
        <v>34</v>
      </c>
      <c r="AG256" s="626"/>
      <c r="AH256" s="221" t="s">
        <v>72</v>
      </c>
      <c r="AI256" s="627" t="s">
        <v>73</v>
      </c>
      <c r="AJ256" s="628"/>
      <c r="AK256" s="91"/>
      <c r="AL256"/>
      <c r="AM256"/>
      <c r="AN256"/>
      <c r="AO256"/>
      <c r="AP256"/>
      <c r="AQ256"/>
    </row>
    <row r="257" spans="1:86" s="224" customFormat="1" ht="18" customHeight="1">
      <c r="A257" s="527"/>
      <c r="B257" s="625"/>
      <c r="C257" s="626"/>
      <c r="D257" s="220"/>
      <c r="E257" s="623"/>
      <c r="F257" s="624"/>
      <c r="G257" s="625"/>
      <c r="H257" s="626"/>
      <c r="I257" s="220"/>
      <c r="J257" s="623"/>
      <c r="K257" s="624"/>
      <c r="L257" s="625"/>
      <c r="M257" s="626"/>
      <c r="N257" s="220"/>
      <c r="O257" s="623"/>
      <c r="P257" s="624"/>
      <c r="Q257" s="625"/>
      <c r="R257" s="626"/>
      <c r="S257" s="220"/>
      <c r="T257" s="623"/>
      <c r="U257" s="624"/>
      <c r="V257" s="625"/>
      <c r="W257" s="626"/>
      <c r="X257" s="220"/>
      <c r="Y257" s="623"/>
      <c r="Z257" s="624"/>
      <c r="AA257" s="625"/>
      <c r="AB257" s="626"/>
      <c r="AC257" s="220"/>
      <c r="AD257" s="623"/>
      <c r="AE257" s="624"/>
      <c r="AF257" s="625"/>
      <c r="AG257" s="626"/>
      <c r="AH257" s="220"/>
      <c r="AI257" s="623"/>
      <c r="AJ257" s="624"/>
      <c r="AK257" s="91"/>
      <c r="AL257"/>
      <c r="AM257"/>
      <c r="AN257"/>
      <c r="AO257"/>
      <c r="AP257"/>
      <c r="AQ257"/>
    </row>
    <row r="258" spans="1:86" s="224" customFormat="1" ht="18" customHeight="1">
      <c r="A258" s="527"/>
      <c r="B258" s="625" t="s">
        <v>74</v>
      </c>
      <c r="C258" s="626"/>
      <c r="D258" s="221" t="s">
        <v>75</v>
      </c>
      <c r="E258" s="627" t="s">
        <v>76</v>
      </c>
      <c r="F258" s="628"/>
      <c r="G258" s="625" t="s">
        <v>74</v>
      </c>
      <c r="H258" s="626"/>
      <c r="I258" s="221" t="s">
        <v>75</v>
      </c>
      <c r="J258" s="627" t="s">
        <v>76</v>
      </c>
      <c r="K258" s="628"/>
      <c r="L258" s="625" t="s">
        <v>74</v>
      </c>
      <c r="M258" s="626"/>
      <c r="N258" s="221" t="s">
        <v>75</v>
      </c>
      <c r="O258" s="627" t="s">
        <v>76</v>
      </c>
      <c r="P258" s="628"/>
      <c r="Q258" s="625" t="s">
        <v>74</v>
      </c>
      <c r="R258" s="626"/>
      <c r="S258" s="221" t="s">
        <v>75</v>
      </c>
      <c r="T258" s="627" t="s">
        <v>76</v>
      </c>
      <c r="U258" s="628"/>
      <c r="V258" s="625" t="s">
        <v>74</v>
      </c>
      <c r="W258" s="626"/>
      <c r="X258" s="221" t="s">
        <v>75</v>
      </c>
      <c r="Y258" s="627" t="s">
        <v>76</v>
      </c>
      <c r="Z258" s="628"/>
      <c r="AA258" s="625" t="s">
        <v>74</v>
      </c>
      <c r="AB258" s="626"/>
      <c r="AC258" s="221" t="s">
        <v>75</v>
      </c>
      <c r="AD258" s="627" t="s">
        <v>76</v>
      </c>
      <c r="AE258" s="628"/>
      <c r="AF258" s="625" t="s">
        <v>74</v>
      </c>
      <c r="AG258" s="626"/>
      <c r="AH258" s="221" t="s">
        <v>75</v>
      </c>
      <c r="AI258" s="627" t="s">
        <v>76</v>
      </c>
      <c r="AJ258" s="628"/>
      <c r="AK258" s="91"/>
      <c r="AL258"/>
      <c r="AM258"/>
      <c r="AN258"/>
      <c r="AO258"/>
      <c r="AP258"/>
      <c r="AQ258"/>
    </row>
    <row r="259" spans="1:86" s="224" customFormat="1" ht="18" customHeight="1" thickBot="1">
      <c r="A259" s="516"/>
      <c r="B259" s="621"/>
      <c r="C259" s="622"/>
      <c r="D259" s="222"/>
      <c r="E259" s="619"/>
      <c r="F259" s="620"/>
      <c r="G259" s="621"/>
      <c r="H259" s="622"/>
      <c r="I259" s="222"/>
      <c r="J259" s="619"/>
      <c r="K259" s="620"/>
      <c r="L259" s="621"/>
      <c r="M259" s="622"/>
      <c r="N259" s="222"/>
      <c r="O259" s="619"/>
      <c r="P259" s="620"/>
      <c r="Q259" s="621"/>
      <c r="R259" s="622"/>
      <c r="S259" s="222"/>
      <c r="T259" s="619"/>
      <c r="U259" s="620"/>
      <c r="V259" s="621"/>
      <c r="W259" s="622"/>
      <c r="X259" s="222"/>
      <c r="Y259" s="619"/>
      <c r="Z259" s="620"/>
      <c r="AA259" s="621"/>
      <c r="AB259" s="622"/>
      <c r="AC259" s="222"/>
      <c r="AD259" s="619"/>
      <c r="AE259" s="620"/>
      <c r="AF259" s="621"/>
      <c r="AG259" s="622"/>
      <c r="AH259" s="222"/>
      <c r="AI259" s="619"/>
      <c r="AJ259" s="620"/>
      <c r="AK259" s="91"/>
      <c r="AL259"/>
      <c r="AM259"/>
      <c r="AN259"/>
      <c r="AO259"/>
      <c r="AP259"/>
      <c r="AQ259"/>
    </row>
    <row r="260" spans="1:86" s="1" customFormat="1" ht="18" customHeight="1">
      <c r="A260" s="603" t="s">
        <v>61</v>
      </c>
      <c r="B260" s="603"/>
      <c r="C260" s="603"/>
      <c r="D260" s="603"/>
      <c r="E260" s="603"/>
      <c r="F260" s="603"/>
      <c r="G260" s="603"/>
      <c r="H260" s="603"/>
      <c r="I260" s="603"/>
      <c r="J260" s="603"/>
      <c r="K260" s="603"/>
      <c r="L260" s="603"/>
      <c r="M260" s="603"/>
      <c r="N260" s="603"/>
      <c r="O260" s="603"/>
      <c r="P260" s="603"/>
      <c r="Q260" s="603"/>
      <c r="R260" s="603"/>
      <c r="S260" s="603"/>
      <c r="T260" s="603"/>
      <c r="U260" s="603"/>
      <c r="V260" s="603"/>
      <c r="W260" s="603"/>
      <c r="X260" s="603"/>
      <c r="Y260" s="603"/>
      <c r="Z260" s="603"/>
      <c r="AA260" s="603"/>
      <c r="AB260" s="603"/>
      <c r="AC260" s="603"/>
      <c r="AD260" s="603"/>
      <c r="AE260" s="603"/>
      <c r="AF260" s="69"/>
      <c r="AG260" s="69"/>
      <c r="AH260" s="69"/>
      <c r="AI260" s="69"/>
      <c r="AJ260" s="69"/>
      <c r="AK260" s="91"/>
      <c r="AL260"/>
      <c r="AM260"/>
      <c r="AN260"/>
      <c r="AO260"/>
      <c r="AP260"/>
      <c r="AQ260"/>
      <c r="AR260" s="224"/>
      <c r="AS260" s="224"/>
      <c r="AT260" s="224"/>
      <c r="AU260" s="224"/>
      <c r="AV260" s="224"/>
      <c r="AW260" s="224"/>
      <c r="AX260" s="224"/>
      <c r="AY260" s="224"/>
      <c r="AZ260" s="224"/>
      <c r="BA260" s="224"/>
      <c r="BB260" s="224"/>
      <c r="BC260" s="224"/>
      <c r="BD260" s="224"/>
      <c r="BE260" s="224"/>
      <c r="BF260" s="224"/>
      <c r="BG260" s="224"/>
      <c r="BH260" s="224"/>
      <c r="BI260" s="224"/>
      <c r="BJ260" s="224"/>
      <c r="BK260" s="224"/>
      <c r="BL260" s="224"/>
      <c r="BM260" s="224"/>
      <c r="BN260" s="224"/>
      <c r="BO260" s="224"/>
      <c r="BP260" s="224"/>
      <c r="BQ260" s="224"/>
      <c r="BR260" s="224"/>
      <c r="BS260" s="224"/>
      <c r="BT260" s="224"/>
      <c r="BU260" s="224"/>
      <c r="BV260" s="224"/>
      <c r="BW260" s="224"/>
      <c r="BX260" s="224"/>
      <c r="BY260" s="224"/>
      <c r="BZ260" s="224"/>
      <c r="CA260" s="224"/>
      <c r="CB260" s="224"/>
      <c r="CC260" s="224"/>
      <c r="CD260" s="224"/>
      <c r="CE260" s="224"/>
      <c r="CF260" s="224"/>
      <c r="CG260" s="224"/>
      <c r="CH260" s="224"/>
    </row>
    <row r="261" spans="1:86" s="1" customFormat="1" ht="18" customHeight="1">
      <c r="A261" s="604" t="s">
        <v>62</v>
      </c>
      <c r="B261" s="604"/>
      <c r="C261" s="604"/>
      <c r="D261" s="604"/>
      <c r="E261" s="604"/>
      <c r="F261" s="604"/>
      <c r="G261" s="604"/>
      <c r="H261" s="604"/>
      <c r="I261" s="604"/>
      <c r="J261" s="604"/>
      <c r="K261" s="604"/>
      <c r="L261" s="604"/>
      <c r="M261" s="604"/>
      <c r="N261" s="604"/>
      <c r="O261" s="604"/>
      <c r="P261" s="604"/>
      <c r="Q261" s="604"/>
      <c r="R261" s="604"/>
      <c r="S261" s="604"/>
      <c r="T261" s="604"/>
      <c r="U261" s="604"/>
      <c r="V261" s="604"/>
      <c r="W261" s="604"/>
      <c r="X261" s="604"/>
      <c r="Y261" s="604"/>
      <c r="Z261" s="604"/>
      <c r="AA261" s="604"/>
      <c r="AB261" s="604"/>
      <c r="AC261" s="604"/>
      <c r="AD261" s="604"/>
      <c r="AE261" s="604"/>
      <c r="AF261" s="69"/>
      <c r="AG261" s="69"/>
      <c r="AH261" s="69"/>
      <c r="AI261" s="69"/>
      <c r="AJ261" s="69"/>
      <c r="AK261" s="91"/>
      <c r="AL261"/>
      <c r="AM261"/>
      <c r="AN261"/>
      <c r="AO261"/>
      <c r="AP261"/>
      <c r="AQ261"/>
      <c r="AR261" s="224"/>
      <c r="AS261" s="224"/>
      <c r="AT261" s="224"/>
      <c r="AU261" s="224"/>
      <c r="AV261" s="224"/>
      <c r="AW261" s="224"/>
      <c r="AX261" s="224"/>
      <c r="AY261" s="224"/>
      <c r="AZ261" s="224"/>
      <c r="BA261" s="224"/>
      <c r="BB261" s="224"/>
      <c r="BC261" s="224"/>
      <c r="BD261" s="224"/>
      <c r="BE261" s="224"/>
      <c r="BF261" s="224"/>
      <c r="BG261" s="224"/>
      <c r="BH261" s="224"/>
      <c r="BI261" s="224"/>
      <c r="BJ261" s="224"/>
      <c r="BK261" s="224"/>
      <c r="BL261" s="224"/>
      <c r="BM261" s="224"/>
      <c r="BN261" s="224"/>
      <c r="BO261" s="224"/>
      <c r="BP261" s="224"/>
      <c r="BQ261" s="224"/>
      <c r="BR261" s="224"/>
      <c r="BS261" s="224"/>
      <c r="BT261" s="224"/>
      <c r="BU261" s="224"/>
      <c r="BV261" s="224"/>
      <c r="BW261" s="224"/>
      <c r="BX261" s="224"/>
      <c r="BY261" s="224"/>
      <c r="BZ261" s="224"/>
      <c r="CA261" s="224"/>
      <c r="CB261" s="224"/>
      <c r="CC261" s="224"/>
      <c r="CD261" s="224"/>
      <c r="CE261" s="224"/>
      <c r="CF261" s="224"/>
      <c r="CG261" s="224"/>
      <c r="CH261" s="224"/>
    </row>
    <row r="262" spans="1:86" ht="18.75">
      <c r="A262" s="500" t="s">
        <v>64</v>
      </c>
      <c r="B262" s="500"/>
      <c r="C262" s="500"/>
      <c r="D262" s="500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  <c r="Y262" s="500"/>
      <c r="Z262" s="500"/>
      <c r="AA262" s="500"/>
      <c r="AB262" s="500"/>
      <c r="AC262" s="500"/>
      <c r="AD262" s="500"/>
      <c r="AE262" s="500"/>
      <c r="AF262" s="500"/>
      <c r="AG262" s="500"/>
      <c r="AH262" s="500"/>
      <c r="AI262" s="500"/>
      <c r="AJ262" s="500"/>
      <c r="AK262" s="7"/>
    </row>
    <row r="263" spans="1:86" ht="16.149999999999999" customHeight="1">
      <c r="A263" s="500" t="s">
        <v>63</v>
      </c>
      <c r="B263" s="500"/>
      <c r="C263" s="500"/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7"/>
    </row>
    <row r="264" spans="1:86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  <c r="AA264" s="501"/>
      <c r="AB264" s="501"/>
      <c r="AC264" s="501"/>
      <c r="AD264" s="501"/>
      <c r="AE264" s="501"/>
      <c r="AF264" s="501"/>
      <c r="AG264" s="501"/>
      <c r="AH264" s="501"/>
      <c r="AI264" s="501"/>
      <c r="AJ264" s="501"/>
    </row>
    <row r="265" spans="1:86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  <c r="AA265" s="501"/>
      <c r="AB265" s="501"/>
      <c r="AC265" s="501"/>
      <c r="AD265" s="501"/>
      <c r="AE265" s="501"/>
      <c r="AF265" s="501"/>
      <c r="AG265" s="501"/>
      <c r="AH265" s="501"/>
      <c r="AI265" s="501"/>
      <c r="AJ265" s="501"/>
    </row>
    <row r="266" spans="1:86">
      <c r="I266" s="7" t="s">
        <v>77</v>
      </c>
      <c r="J266" s="7">
        <v>590</v>
      </c>
      <c r="N266" s="7" t="s">
        <v>77</v>
      </c>
      <c r="O266" s="7">
        <v>590</v>
      </c>
      <c r="S266" s="7" t="s">
        <v>77</v>
      </c>
      <c r="T266" s="7">
        <v>590</v>
      </c>
      <c r="X266" s="7" t="s">
        <v>77</v>
      </c>
      <c r="Y266" s="7">
        <v>590</v>
      </c>
      <c r="AC266" s="7" t="s">
        <v>77</v>
      </c>
      <c r="AD266" s="7">
        <v>590</v>
      </c>
      <c r="AF266" s="7"/>
      <c r="AG266" s="7"/>
      <c r="AH266" s="7" t="s">
        <v>77</v>
      </c>
      <c r="AI266" s="7">
        <v>863</v>
      </c>
      <c r="AJ266" s="7"/>
    </row>
    <row r="267" spans="1:86">
      <c r="I267" s="7" t="s">
        <v>84</v>
      </c>
      <c r="J267" s="7">
        <f>1287</f>
        <v>1287</v>
      </c>
      <c r="N267" s="7" t="s">
        <v>84</v>
      </c>
      <c r="O267" s="7">
        <f>1287-142</f>
        <v>1145</v>
      </c>
      <c r="S267" s="7" t="s">
        <v>84</v>
      </c>
      <c r="T267" s="7">
        <f>1287-142</f>
        <v>1145</v>
      </c>
      <c r="X267" s="7" t="s">
        <v>84</v>
      </c>
      <c r="Y267" s="7">
        <f>1287-142-13</f>
        <v>1132</v>
      </c>
      <c r="AC267" s="7" t="s">
        <v>84</v>
      </c>
      <c r="AD267" s="7">
        <f>1287-142-13</f>
        <v>1132</v>
      </c>
      <c r="AF267" s="7"/>
      <c r="AG267" s="7"/>
      <c r="AH267" s="7" t="s">
        <v>79</v>
      </c>
      <c r="AI267" s="7">
        <v>1287</v>
      </c>
      <c r="AJ267" s="7"/>
    </row>
    <row r="268" spans="1:86">
      <c r="I268" s="7" t="s">
        <v>85</v>
      </c>
      <c r="J268" s="7">
        <v>35</v>
      </c>
      <c r="N268" s="7" t="s">
        <v>85</v>
      </c>
      <c r="O268" s="7">
        <v>35</v>
      </c>
      <c r="S268" s="7" t="s">
        <v>85</v>
      </c>
      <c r="T268" s="7">
        <v>35</v>
      </c>
      <c r="X268" s="7" t="s">
        <v>85</v>
      </c>
      <c r="Y268" s="7">
        <v>35</v>
      </c>
      <c r="AC268" s="7" t="s">
        <v>85</v>
      </c>
      <c r="AD268" s="7">
        <v>35</v>
      </c>
      <c r="AF268" s="7"/>
      <c r="AG268" s="7"/>
      <c r="AH268" s="7" t="s">
        <v>85</v>
      </c>
      <c r="AI268" s="7">
        <v>35</v>
      </c>
      <c r="AJ268" s="7"/>
    </row>
    <row r="269" spans="1:86">
      <c r="AF269" s="7"/>
      <c r="AG269" s="7"/>
      <c r="AH269" s="7"/>
      <c r="AI269" s="7"/>
      <c r="AJ269" s="7"/>
    </row>
    <row r="270" spans="1:86">
      <c r="AF270" s="7"/>
      <c r="AG270" s="7"/>
      <c r="AH270" s="7"/>
      <c r="AI270" s="7"/>
      <c r="AJ270" s="7"/>
    </row>
    <row r="271" spans="1:86">
      <c r="AF271" s="7"/>
      <c r="AG271" s="7"/>
      <c r="AH271" s="7"/>
      <c r="AI271" s="7"/>
      <c r="AJ271" s="7"/>
    </row>
    <row r="272" spans="1:86">
      <c r="AF272" s="7"/>
      <c r="AG272" s="7"/>
      <c r="AH272" s="7"/>
      <c r="AI272" s="7"/>
      <c r="AJ272" s="7"/>
    </row>
    <row r="273" spans="7:36">
      <c r="G273" s="224"/>
      <c r="H273" s="224"/>
      <c r="I273" s="224"/>
      <c r="J273" s="224"/>
      <c r="K273" s="224"/>
      <c r="AF273" s="7"/>
      <c r="AG273" s="7"/>
      <c r="AH273" s="7"/>
      <c r="AI273" s="7"/>
      <c r="AJ273" s="7"/>
    </row>
    <row r="274" spans="7:36">
      <c r="G274" s="224"/>
      <c r="H274" s="224"/>
      <c r="I274" s="224"/>
      <c r="J274" s="224"/>
      <c r="K274" s="224"/>
      <c r="AF274" s="7"/>
      <c r="AG274" s="7"/>
      <c r="AH274" s="7"/>
      <c r="AI274" s="7"/>
      <c r="AJ274" s="7"/>
    </row>
    <row r="275" spans="7:36">
      <c r="G275" s="224"/>
      <c r="H275" s="224"/>
      <c r="I275" s="224"/>
      <c r="J275" s="224"/>
      <c r="K275" s="224"/>
      <c r="AF275" s="7"/>
      <c r="AG275" s="7"/>
      <c r="AH275" s="7"/>
      <c r="AI275" s="7"/>
      <c r="AJ275" s="7"/>
    </row>
    <row r="276" spans="7:36">
      <c r="G276" s="224"/>
      <c r="H276" s="224"/>
      <c r="I276" s="224"/>
      <c r="J276" s="224"/>
      <c r="K276" s="224"/>
      <c r="AF276" s="7"/>
      <c r="AG276" s="7"/>
      <c r="AH276" s="7"/>
      <c r="AI276" s="7"/>
      <c r="AJ276" s="7"/>
    </row>
    <row r="277" spans="7:36">
      <c r="G277" s="224"/>
      <c r="H277" s="224"/>
      <c r="I277" s="224"/>
      <c r="J277" s="224"/>
      <c r="K277" s="224"/>
      <c r="W277" s="224"/>
      <c r="X277" s="225"/>
      <c r="Y277" s="224"/>
      <c r="Z277" s="224"/>
      <c r="AA277" s="224"/>
      <c r="AF277" s="7"/>
      <c r="AG277" s="7"/>
      <c r="AH277" s="7"/>
      <c r="AI277" s="7"/>
      <c r="AJ277" s="7"/>
    </row>
    <row r="278" spans="7:36">
      <c r="G278" s="224"/>
      <c r="H278" s="224"/>
      <c r="I278" s="224"/>
      <c r="J278" s="224"/>
      <c r="K278" s="224"/>
      <c r="W278" s="224"/>
      <c r="X278" s="225"/>
      <c r="Y278" s="224"/>
      <c r="Z278" s="224"/>
      <c r="AA278" s="224"/>
      <c r="AF278" s="7"/>
      <c r="AG278" s="7"/>
      <c r="AH278" s="7"/>
      <c r="AI278" s="7"/>
      <c r="AJ278" s="7"/>
    </row>
    <row r="279" spans="7:36">
      <c r="G279" s="224"/>
      <c r="H279" s="224"/>
      <c r="I279" s="224"/>
      <c r="J279" s="224"/>
      <c r="K279" s="224"/>
      <c r="W279" s="224"/>
      <c r="X279" s="225"/>
      <c r="Y279" s="224"/>
      <c r="Z279" s="224"/>
      <c r="AA279" s="224"/>
      <c r="AF279" s="7"/>
      <c r="AG279" s="7"/>
      <c r="AH279" s="7"/>
      <c r="AI279" s="7"/>
      <c r="AJ279" s="7"/>
    </row>
    <row r="280" spans="7:36">
      <c r="G280" s="224"/>
      <c r="H280" s="224"/>
      <c r="I280" s="224"/>
      <c r="J280" s="224"/>
      <c r="K280" s="224"/>
      <c r="W280" s="224"/>
      <c r="X280" s="225"/>
      <c r="Y280" s="224"/>
      <c r="Z280" s="224"/>
      <c r="AA280" s="224"/>
      <c r="AF280" s="7"/>
      <c r="AG280" s="7"/>
      <c r="AH280" s="7"/>
      <c r="AI280" s="7"/>
      <c r="AJ280" s="7"/>
    </row>
    <row r="281" spans="7:36">
      <c r="G281" s="224"/>
      <c r="H281" s="224"/>
      <c r="I281" s="224"/>
      <c r="J281" s="224"/>
      <c r="K281" s="224"/>
      <c r="W281" s="224"/>
      <c r="X281" s="225"/>
      <c r="Y281" s="224"/>
      <c r="Z281" s="224"/>
      <c r="AA281" s="224"/>
      <c r="AF281" s="7"/>
      <c r="AG281" s="7"/>
      <c r="AH281" s="7"/>
      <c r="AI281" s="7"/>
      <c r="AJ281" s="7"/>
    </row>
    <row r="282" spans="7:36">
      <c r="G282" s="224"/>
      <c r="H282" s="224"/>
      <c r="I282" s="224"/>
      <c r="J282" s="224"/>
      <c r="K282" s="224"/>
      <c r="W282" s="224"/>
      <c r="X282" s="225"/>
      <c r="Y282" s="224"/>
      <c r="Z282" s="224"/>
      <c r="AA282" s="224"/>
      <c r="AF282" s="7"/>
      <c r="AG282" s="7"/>
      <c r="AH282" s="7"/>
      <c r="AI282" s="7"/>
      <c r="AJ282" s="7"/>
    </row>
    <row r="283" spans="7:36">
      <c r="G283" s="224"/>
      <c r="H283" s="224"/>
      <c r="I283" s="224"/>
      <c r="J283" s="224"/>
      <c r="K283" s="224"/>
      <c r="W283" s="224"/>
      <c r="X283" s="225"/>
      <c r="Y283" s="224"/>
      <c r="Z283" s="224"/>
      <c r="AA283" s="224"/>
      <c r="AF283" s="7"/>
      <c r="AG283" s="7"/>
      <c r="AH283" s="7"/>
      <c r="AI283" s="7"/>
      <c r="AJ283" s="7"/>
    </row>
    <row r="284" spans="7:36">
      <c r="G284" s="224"/>
      <c r="H284" s="224"/>
      <c r="I284" s="224"/>
      <c r="J284" s="224"/>
      <c r="K284" s="224"/>
      <c r="W284" s="224"/>
      <c r="X284" s="225"/>
      <c r="Y284" s="224"/>
      <c r="Z284" s="224"/>
      <c r="AA284" s="224"/>
    </row>
    <row r="285" spans="7:36">
      <c r="G285" s="224"/>
      <c r="H285" s="224"/>
      <c r="I285" s="224"/>
      <c r="J285" s="224"/>
      <c r="K285" s="224"/>
      <c r="W285" s="224"/>
      <c r="X285" s="225"/>
      <c r="Y285" s="224"/>
      <c r="Z285" s="224"/>
      <c r="AA285" s="224"/>
    </row>
    <row r="286" spans="7:36">
      <c r="G286" s="224"/>
      <c r="H286" s="224"/>
      <c r="I286" s="224"/>
      <c r="J286" s="224"/>
      <c r="K286" s="224"/>
      <c r="W286" s="224"/>
      <c r="X286" s="225"/>
      <c r="Y286" s="224"/>
      <c r="Z286" s="224"/>
      <c r="AA286" s="224"/>
    </row>
    <row r="287" spans="7:36">
      <c r="G287" s="224"/>
      <c r="H287" s="224"/>
      <c r="I287" s="224"/>
      <c r="J287" s="224"/>
      <c r="K287" s="224"/>
      <c r="W287" s="224"/>
      <c r="X287" s="225"/>
      <c r="Y287" s="224"/>
      <c r="Z287" s="224"/>
      <c r="AA287" s="224"/>
    </row>
    <row r="288" spans="7:36">
      <c r="W288" s="224"/>
      <c r="X288" s="225"/>
      <c r="Y288" s="224"/>
      <c r="Z288" s="224"/>
      <c r="AA288" s="224"/>
    </row>
    <row r="289" spans="23:27">
      <c r="W289" s="224"/>
      <c r="X289" s="225"/>
      <c r="Y289" s="224"/>
      <c r="Z289" s="224"/>
      <c r="AA289" s="224"/>
    </row>
    <row r="290" spans="23:27">
      <c r="W290" s="224"/>
      <c r="X290" s="225"/>
      <c r="Y290" s="224"/>
      <c r="Z290" s="224"/>
      <c r="AA290" s="224"/>
    </row>
    <row r="291" spans="23:27">
      <c r="W291" s="224"/>
      <c r="X291" s="225"/>
      <c r="Y291" s="224"/>
      <c r="Z291" s="224"/>
      <c r="AA291" s="224"/>
    </row>
  </sheetData>
  <mergeCells count="244">
    <mergeCell ref="AA34:AA48"/>
    <mergeCell ref="AF34:AF48"/>
    <mergeCell ref="AA4:AA18"/>
    <mergeCell ref="AF4:AF18"/>
    <mergeCell ref="AA139:AA153"/>
    <mergeCell ref="AA94:AA108"/>
    <mergeCell ref="L199:L213"/>
    <mergeCell ref="AA184:AA198"/>
    <mergeCell ref="AF184:AF198"/>
    <mergeCell ref="V94:V108"/>
    <mergeCell ref="AF139:AF153"/>
    <mergeCell ref="AA49:AA63"/>
    <mergeCell ref="AF49:AF63"/>
    <mergeCell ref="AA79:AA93"/>
    <mergeCell ref="AF79:AF93"/>
    <mergeCell ref="AA64:AA78"/>
    <mergeCell ref="AF64:AF78"/>
    <mergeCell ref="R94:U97"/>
    <mergeCell ref="A199:A213"/>
    <mergeCell ref="B199:B213"/>
    <mergeCell ref="G199:G213"/>
    <mergeCell ref="Q199:Q213"/>
    <mergeCell ref="AF199:AF213"/>
    <mergeCell ref="A184:A198"/>
    <mergeCell ref="B184:B198"/>
    <mergeCell ref="G184:G198"/>
    <mergeCell ref="L184:L198"/>
    <mergeCell ref="Q184:Q198"/>
    <mergeCell ref="V184:V198"/>
    <mergeCell ref="AA199:AA213"/>
    <mergeCell ref="V199:V213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54:AA168"/>
    <mergeCell ref="AF154:AF168"/>
    <mergeCell ref="A139:A153"/>
    <mergeCell ref="B139:B153"/>
    <mergeCell ref="G139:G153"/>
    <mergeCell ref="L139:L153"/>
    <mergeCell ref="Q139:Q153"/>
    <mergeCell ref="V139:V153"/>
    <mergeCell ref="AA109:AA123"/>
    <mergeCell ref="AF109:AF123"/>
    <mergeCell ref="A94:A108"/>
    <mergeCell ref="B94:B108"/>
    <mergeCell ref="A124:A138"/>
    <mergeCell ref="B124:B138"/>
    <mergeCell ref="G124:G138"/>
    <mergeCell ref="L124:L138"/>
    <mergeCell ref="Q124:Q138"/>
    <mergeCell ref="V124:V138"/>
    <mergeCell ref="AA124:AA138"/>
    <mergeCell ref="AF124:AF138"/>
    <mergeCell ref="AF94:AF108"/>
    <mergeCell ref="G94:G108"/>
    <mergeCell ref="L94:L108"/>
    <mergeCell ref="Q94:Q108"/>
    <mergeCell ref="A34:A48"/>
    <mergeCell ref="B34:B48"/>
    <mergeCell ref="G34:G48"/>
    <mergeCell ref="L34:L48"/>
    <mergeCell ref="Q34:Q48"/>
    <mergeCell ref="V34:V48"/>
    <mergeCell ref="A79:A93"/>
    <mergeCell ref="B79:B93"/>
    <mergeCell ref="G79:G93"/>
    <mergeCell ref="L79:L93"/>
    <mergeCell ref="Q79:Q93"/>
    <mergeCell ref="V79:V93"/>
    <mergeCell ref="A64:A78"/>
    <mergeCell ref="B64:B78"/>
    <mergeCell ref="G64:G78"/>
    <mergeCell ref="L64:L78"/>
    <mergeCell ref="Q64:Q78"/>
    <mergeCell ref="V64:V78"/>
    <mergeCell ref="H49:K52"/>
    <mergeCell ref="AA2:AB2"/>
    <mergeCell ref="AF2:AG2"/>
    <mergeCell ref="A1:AJ1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V249:W249"/>
    <mergeCell ref="X249:Y249"/>
    <mergeCell ref="Q233:R233"/>
    <mergeCell ref="S233:T233"/>
    <mergeCell ref="V233:W233"/>
    <mergeCell ref="X233:Y233"/>
    <mergeCell ref="A2:A3"/>
    <mergeCell ref="B2:C2"/>
    <mergeCell ref="G2:H2"/>
    <mergeCell ref="L2:M2"/>
    <mergeCell ref="Q2:R2"/>
    <mergeCell ref="V2:W2"/>
    <mergeCell ref="A49:A63"/>
    <mergeCell ref="B49:B63"/>
    <mergeCell ref="G49:G63"/>
    <mergeCell ref="L49:L63"/>
    <mergeCell ref="Q49:Q63"/>
    <mergeCell ref="V49:V63"/>
    <mergeCell ref="A109:A123"/>
    <mergeCell ref="B109:B123"/>
    <mergeCell ref="G109:G123"/>
    <mergeCell ref="L109:L123"/>
    <mergeCell ref="Q109:Q123"/>
    <mergeCell ref="V109:V123"/>
    <mergeCell ref="AA233:AB233"/>
    <mergeCell ref="AC233:AD233"/>
    <mergeCell ref="AF233:AG233"/>
    <mergeCell ref="AH233:AI233"/>
    <mergeCell ref="A234:A249"/>
    <mergeCell ref="B249:C249"/>
    <mergeCell ref="D249:E249"/>
    <mergeCell ref="G249:H249"/>
    <mergeCell ref="I249:J249"/>
    <mergeCell ref="AA249:AB249"/>
    <mergeCell ref="AC249:AD249"/>
    <mergeCell ref="AF249:AG249"/>
    <mergeCell ref="AH249:AI249"/>
    <mergeCell ref="A214:A233"/>
    <mergeCell ref="B233:C233"/>
    <mergeCell ref="D233:E233"/>
    <mergeCell ref="G233:H233"/>
    <mergeCell ref="I233:J233"/>
    <mergeCell ref="L233:M233"/>
    <mergeCell ref="N233:O233"/>
    <mergeCell ref="L249:M249"/>
    <mergeCell ref="N249:O249"/>
    <mergeCell ref="Q249:R249"/>
    <mergeCell ref="S249:T249"/>
    <mergeCell ref="A254:A259"/>
    <mergeCell ref="B254:C254"/>
    <mergeCell ref="E254:F254"/>
    <mergeCell ref="G254:H254"/>
    <mergeCell ref="J254:K254"/>
    <mergeCell ref="L254:M254"/>
    <mergeCell ref="O254:P254"/>
    <mergeCell ref="Q254:R254"/>
    <mergeCell ref="T254:U254"/>
    <mergeCell ref="B256:C256"/>
    <mergeCell ref="E256:F256"/>
    <mergeCell ref="G256:H256"/>
    <mergeCell ref="J256:K256"/>
    <mergeCell ref="L256:M256"/>
    <mergeCell ref="O256:P256"/>
    <mergeCell ref="Q256:R256"/>
    <mergeCell ref="T256:U256"/>
    <mergeCell ref="B258:C258"/>
    <mergeCell ref="E258:F258"/>
    <mergeCell ref="G258:H258"/>
    <mergeCell ref="J258:K258"/>
    <mergeCell ref="L258:M258"/>
    <mergeCell ref="O258:P258"/>
    <mergeCell ref="Q258:R258"/>
    <mergeCell ref="V254:W254"/>
    <mergeCell ref="Y254:Z254"/>
    <mergeCell ref="AA254:AB254"/>
    <mergeCell ref="AD254:AE254"/>
    <mergeCell ref="AF254:AG254"/>
    <mergeCell ref="AI254:AJ254"/>
    <mergeCell ref="B255:C255"/>
    <mergeCell ref="E255:F255"/>
    <mergeCell ref="G255:H255"/>
    <mergeCell ref="J255:K255"/>
    <mergeCell ref="L255:M255"/>
    <mergeCell ref="O255:P255"/>
    <mergeCell ref="Q255:R255"/>
    <mergeCell ref="T255:U255"/>
    <mergeCell ref="V255:W255"/>
    <mergeCell ref="Y255:Z255"/>
    <mergeCell ref="AA255:AB255"/>
    <mergeCell ref="AD255:AE255"/>
    <mergeCell ref="AF255:AG255"/>
    <mergeCell ref="AI255:AJ255"/>
    <mergeCell ref="B257:C257"/>
    <mergeCell ref="E257:F257"/>
    <mergeCell ref="G257:H257"/>
    <mergeCell ref="J257:K257"/>
    <mergeCell ref="L257:M257"/>
    <mergeCell ref="O257:P257"/>
    <mergeCell ref="Q257:R257"/>
    <mergeCell ref="T257:U257"/>
    <mergeCell ref="V257:W257"/>
    <mergeCell ref="AD259:AE259"/>
    <mergeCell ref="AF259:AG259"/>
    <mergeCell ref="AI259:AJ259"/>
    <mergeCell ref="V256:W256"/>
    <mergeCell ref="Y256:Z256"/>
    <mergeCell ref="AA256:AB256"/>
    <mergeCell ref="AD256:AE256"/>
    <mergeCell ref="AF256:AG256"/>
    <mergeCell ref="AI256:AJ256"/>
    <mergeCell ref="Y257:Z257"/>
    <mergeCell ref="AA257:AB257"/>
    <mergeCell ref="AD257:AE257"/>
    <mergeCell ref="AF257:AG257"/>
    <mergeCell ref="AI257:AJ257"/>
    <mergeCell ref="A260:AE260"/>
    <mergeCell ref="A261:AE261"/>
    <mergeCell ref="A262:AJ262"/>
    <mergeCell ref="A263:AJ263"/>
    <mergeCell ref="A264:AJ264"/>
    <mergeCell ref="A265:AJ265"/>
    <mergeCell ref="T258:U258"/>
    <mergeCell ref="V258:W258"/>
    <mergeCell ref="Y258:Z258"/>
    <mergeCell ref="AA258:AB258"/>
    <mergeCell ref="AD258:AE258"/>
    <mergeCell ref="AF258:AG258"/>
    <mergeCell ref="AI258:AJ258"/>
    <mergeCell ref="B259:C259"/>
    <mergeCell ref="E259:F259"/>
    <mergeCell ref="G259:H259"/>
    <mergeCell ref="J259:K259"/>
    <mergeCell ref="L259:M259"/>
    <mergeCell ref="O259:P259"/>
    <mergeCell ref="Q259:R259"/>
    <mergeCell ref="T259:U259"/>
    <mergeCell ref="V259:W259"/>
    <mergeCell ref="Y259:Z259"/>
    <mergeCell ref="AA259:AB259"/>
  </mergeCells>
  <phoneticPr fontId="16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H292"/>
  <sheetViews>
    <sheetView showZeros="0" zoomScale="80" zoomScaleNormal="80" workbookViewId="0">
      <pane ySplit="3" topLeftCell="A4" activePane="bottomLeft" state="frozen"/>
      <selection activeCell="W187" sqref="W187"/>
      <selection pane="bottomLeft" activeCell="V49" sqref="V49:V64"/>
    </sheetView>
  </sheetViews>
  <sheetFormatPr defaultColWidth="9" defaultRowHeight="16.5"/>
  <cols>
    <col min="1" max="1" width="3.625" style="7" customWidth="1"/>
    <col min="2" max="2" width="5.625" style="7" hidden="1" customWidth="1"/>
    <col min="3" max="6" width="7.625" style="7" hidden="1" customWidth="1"/>
    <col min="7" max="7" width="5.625" style="7" customWidth="1"/>
    <col min="8" max="8" width="14.75" style="7" customWidth="1"/>
    <col min="9" max="9" width="9.375" style="7" customWidth="1"/>
    <col min="10" max="11" width="7.625" style="7" customWidth="1"/>
    <col min="12" max="12" width="5.625" style="7" customWidth="1"/>
    <col min="13" max="13" width="14.75" style="7" customWidth="1"/>
    <col min="14" max="14" width="9.125" style="7" customWidth="1"/>
    <col min="15" max="16" width="7.625" style="7" customWidth="1"/>
    <col min="17" max="17" width="5.625" style="7" customWidth="1"/>
    <col min="18" max="18" width="14.75" style="7" customWidth="1"/>
    <col min="19" max="19" width="9" style="7" customWidth="1"/>
    <col min="20" max="21" width="7.625" style="7" customWidth="1"/>
    <col min="22" max="22" width="5.625" style="7" customWidth="1"/>
    <col min="23" max="23" width="14.75" style="7" customWidth="1"/>
    <col min="24" max="24" width="9.625" style="7" customWidth="1"/>
    <col min="25" max="26" width="7.625" style="7" customWidth="1"/>
    <col min="27" max="27" width="5.625" style="7" customWidth="1"/>
    <col min="28" max="28" width="14.75" style="184" customWidth="1"/>
    <col min="29" max="29" width="10.5" style="7" customWidth="1"/>
    <col min="30" max="31" width="7.625" style="7" customWidth="1"/>
    <col min="32" max="32" width="5.625" style="2" hidden="1" customWidth="1"/>
    <col min="33" max="36" width="7.625" style="2" hidden="1" customWidth="1"/>
    <col min="37" max="37" width="9" style="2" customWidth="1"/>
    <col min="38" max="38" width="4.5" customWidth="1"/>
    <col min="39" max="39" width="8.625" customWidth="1"/>
    <col min="40" max="44" width="4" customWidth="1"/>
    <col min="45" max="45" width="4" style="224" customWidth="1"/>
    <col min="46" max="46" width="4.5" style="224" customWidth="1"/>
    <col min="47" max="47" width="8.625" style="224" customWidth="1"/>
    <col min="48" max="53" width="4" style="224" customWidth="1"/>
    <col min="54" max="54" width="4.5" style="224" customWidth="1"/>
    <col min="55" max="55" width="8.625" style="224" customWidth="1"/>
    <col min="56" max="61" width="4" style="224" customWidth="1"/>
    <col min="62" max="62" width="4.5" style="224" customWidth="1"/>
    <col min="63" max="63" width="8.625" style="224" customWidth="1"/>
    <col min="64" max="69" width="4" style="224" customWidth="1"/>
    <col min="70" max="70" width="4.5" style="224" customWidth="1"/>
    <col min="71" max="71" width="8.625" style="224" customWidth="1"/>
    <col min="72" max="77" width="4" style="224" customWidth="1"/>
    <col min="78" max="78" width="4.5" style="224" customWidth="1"/>
    <col min="79" max="79" width="8.625" style="224" customWidth="1"/>
    <col min="80" max="85" width="4" style="224" customWidth="1"/>
    <col min="86" max="86" width="9" style="224"/>
    <col min="87" max="16384" width="9" style="2"/>
  </cols>
  <sheetData>
    <row r="1" spans="1:86" s="1" customFormat="1" ht="26.25" customHeight="1" thickBot="1">
      <c r="A1" s="602" t="str">
        <f>菜單總表!A2&amp;+LEFT(菜單總表!A3,FIND("餐",菜單總表!A3)-3)&amp;+"第4週午餐菜單"</f>
        <v>基隆市安樂高中、長樂安樂港西國小113 年 6 月 份 第4週午餐菜單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91"/>
      <c r="AL1"/>
      <c r="AM1"/>
      <c r="AN1"/>
      <c r="AO1"/>
      <c r="AP1"/>
      <c r="AQ1"/>
      <c r="AR1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</row>
    <row r="2" spans="1:86" s="1" customFormat="1" ht="18" customHeight="1">
      <c r="A2" s="558"/>
      <c r="B2" s="531">
        <v>44290</v>
      </c>
      <c r="C2" s="532"/>
      <c r="D2" s="10" t="s">
        <v>26</v>
      </c>
      <c r="E2" s="25"/>
      <c r="F2" s="28" t="s">
        <v>12</v>
      </c>
      <c r="G2" s="531">
        <f>DATE(YEAR(第三週!AA2),MONTH(第三週!AA2),DAY(第三週!AA2)+3)</f>
        <v>45467</v>
      </c>
      <c r="H2" s="532"/>
      <c r="I2" s="8" t="s">
        <v>11</v>
      </c>
      <c r="J2" s="114">
        <f>1900-142-13</f>
        <v>1745</v>
      </c>
      <c r="K2" s="28" t="s">
        <v>12</v>
      </c>
      <c r="L2" s="531">
        <f>DATE(YEAR(G2),MONTH(G2),DAY(G2)+1)</f>
        <v>45468</v>
      </c>
      <c r="M2" s="532"/>
      <c r="N2" s="10" t="s">
        <v>13</v>
      </c>
      <c r="O2" s="114">
        <f>1900-142-13-59</f>
        <v>1686</v>
      </c>
      <c r="P2" s="28" t="s">
        <v>12</v>
      </c>
      <c r="Q2" s="531">
        <f>DATE(YEAR(L2),MONTH(L2),DAY(L2)+1)</f>
        <v>45469</v>
      </c>
      <c r="R2" s="532"/>
      <c r="S2" s="10" t="s">
        <v>14</v>
      </c>
      <c r="T2" s="114">
        <f>1900-142-13</f>
        <v>1745</v>
      </c>
      <c r="U2" s="28" t="s">
        <v>12</v>
      </c>
      <c r="V2" s="531">
        <f>DATE(YEAR(Q2),MONTH(Q2),DAY(Q2)+1)</f>
        <v>45470</v>
      </c>
      <c r="W2" s="532"/>
      <c r="X2" s="10" t="s">
        <v>15</v>
      </c>
      <c r="Y2" s="114">
        <f>1900-142-13</f>
        <v>1745</v>
      </c>
      <c r="Z2" s="28" t="s">
        <v>12</v>
      </c>
      <c r="AA2" s="531">
        <f>DATE(YEAR(V2),MONTH(V2),DAY(V2)+1)</f>
        <v>45471</v>
      </c>
      <c r="AB2" s="532"/>
      <c r="AC2" s="10" t="s">
        <v>16</v>
      </c>
      <c r="AD2" s="114">
        <f>1900-142-13</f>
        <v>1745</v>
      </c>
      <c r="AE2" s="28" t="s">
        <v>12</v>
      </c>
      <c r="AF2" s="531"/>
      <c r="AG2" s="532"/>
      <c r="AH2" s="10" t="s">
        <v>17</v>
      </c>
      <c r="AI2" s="25"/>
      <c r="AJ2" s="28" t="s">
        <v>12</v>
      </c>
      <c r="AK2" s="91"/>
      <c r="AL2"/>
      <c r="AM2"/>
      <c r="AN2"/>
      <c r="AO2"/>
      <c r="AP2"/>
      <c r="AQ2"/>
      <c r="AR2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</row>
    <row r="3" spans="1:86" s="1" customFormat="1" ht="18" customHeight="1" thickBot="1">
      <c r="A3" s="559"/>
      <c r="B3" s="29" t="s">
        <v>18</v>
      </c>
      <c r="C3" s="64" t="s">
        <v>19</v>
      </c>
      <c r="D3" s="64" t="s">
        <v>20</v>
      </c>
      <c r="E3" s="31" t="s">
        <v>4</v>
      </c>
      <c r="F3" s="32" t="s">
        <v>3</v>
      </c>
      <c r="G3" s="29" t="s">
        <v>18</v>
      </c>
      <c r="H3" s="26" t="s">
        <v>19</v>
      </c>
      <c r="I3" s="26" t="s">
        <v>20</v>
      </c>
      <c r="J3" s="26" t="s">
        <v>4</v>
      </c>
      <c r="K3" s="30" t="s">
        <v>3</v>
      </c>
      <c r="L3" s="29" t="s">
        <v>18</v>
      </c>
      <c r="M3" s="31" t="s">
        <v>19</v>
      </c>
      <c r="N3" s="31" t="s">
        <v>20</v>
      </c>
      <c r="O3" s="31" t="s">
        <v>4</v>
      </c>
      <c r="P3" s="32" t="s">
        <v>3</v>
      </c>
      <c r="Q3" s="29" t="s">
        <v>18</v>
      </c>
      <c r="R3" s="31" t="s">
        <v>19</v>
      </c>
      <c r="S3" s="31" t="s">
        <v>20</v>
      </c>
      <c r="T3" s="31" t="s">
        <v>4</v>
      </c>
      <c r="U3" s="32" t="s">
        <v>3</v>
      </c>
      <c r="V3" s="29" t="s">
        <v>18</v>
      </c>
      <c r="W3" s="31" t="s">
        <v>19</v>
      </c>
      <c r="X3" s="31" t="s">
        <v>20</v>
      </c>
      <c r="Y3" s="31" t="s">
        <v>4</v>
      </c>
      <c r="Z3" s="32" t="s">
        <v>3</v>
      </c>
      <c r="AA3" s="29" t="s">
        <v>18</v>
      </c>
      <c r="AB3" s="118" t="s">
        <v>19</v>
      </c>
      <c r="AC3" s="31" t="s">
        <v>20</v>
      </c>
      <c r="AD3" s="31" t="s">
        <v>4</v>
      </c>
      <c r="AE3" s="32" t="s">
        <v>3</v>
      </c>
      <c r="AF3" s="29" t="s">
        <v>18</v>
      </c>
      <c r="AG3" s="31" t="s">
        <v>19</v>
      </c>
      <c r="AH3" s="31" t="s">
        <v>20</v>
      </c>
      <c r="AI3" s="31" t="s">
        <v>4</v>
      </c>
      <c r="AJ3" s="32" t="s">
        <v>3</v>
      </c>
      <c r="AK3" s="91"/>
      <c r="AL3"/>
      <c r="AM3"/>
      <c r="AN3"/>
      <c r="AO3"/>
      <c r="AP3"/>
      <c r="AQ3"/>
      <c r="AR3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</row>
    <row r="4" spans="1:86" s="1" customFormat="1" ht="18" customHeight="1">
      <c r="A4" s="551" t="s">
        <v>33</v>
      </c>
      <c r="B4" s="536"/>
      <c r="C4" s="36"/>
      <c r="D4" s="37"/>
      <c r="E4" s="38"/>
      <c r="F4" s="39"/>
      <c r="G4" s="533" t="s">
        <v>150</v>
      </c>
      <c r="H4" s="320" t="s">
        <v>151</v>
      </c>
      <c r="I4" s="9"/>
      <c r="J4" s="33">
        <f>ROUND(80*J$2/1000,0)</f>
        <v>140</v>
      </c>
      <c r="K4" s="34" t="s">
        <v>0</v>
      </c>
      <c r="L4" s="533" t="s">
        <v>150</v>
      </c>
      <c r="M4" s="320" t="s">
        <v>151</v>
      </c>
      <c r="N4" s="9"/>
      <c r="O4" s="33">
        <f>ROUND(80*O$2/1000,0)</f>
        <v>135</v>
      </c>
      <c r="P4" s="34" t="s">
        <v>0</v>
      </c>
      <c r="Q4" s="533" t="s">
        <v>150</v>
      </c>
      <c r="R4" s="320" t="s">
        <v>151</v>
      </c>
      <c r="S4" s="9"/>
      <c r="T4" s="33">
        <f>ROUND(80*T$2/1000,0)</f>
        <v>140</v>
      </c>
      <c r="U4" s="34" t="s">
        <v>0</v>
      </c>
      <c r="V4" s="555" t="s">
        <v>153</v>
      </c>
      <c r="W4" s="93" t="s">
        <v>151</v>
      </c>
      <c r="X4" s="9"/>
      <c r="Y4" s="33">
        <f>ROUND(74*Y2/1000,0)</f>
        <v>129</v>
      </c>
      <c r="Z4" s="34" t="s">
        <v>0</v>
      </c>
      <c r="AA4" s="533" t="s">
        <v>150</v>
      </c>
      <c r="AB4" s="93" t="s">
        <v>151</v>
      </c>
      <c r="AC4" s="9"/>
      <c r="AD4" s="33">
        <f>ROUND(80*AD2/1000,0)</f>
        <v>140</v>
      </c>
      <c r="AE4" s="34" t="s">
        <v>0</v>
      </c>
      <c r="AF4" s="536"/>
      <c r="AG4" s="36"/>
      <c r="AH4" s="37"/>
      <c r="AI4" s="38"/>
      <c r="AJ4" s="39"/>
      <c r="AK4" s="91"/>
      <c r="AL4"/>
      <c r="AM4"/>
      <c r="AN4"/>
      <c r="AO4"/>
      <c r="AP4"/>
      <c r="AQ4"/>
      <c r="AR4"/>
      <c r="AS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</row>
    <row r="5" spans="1:86" s="1" customFormat="1" ht="18" customHeight="1" thickBot="1">
      <c r="A5" s="537"/>
      <c r="B5" s="537"/>
      <c r="C5" s="42"/>
      <c r="D5" s="7"/>
      <c r="E5" s="43"/>
      <c r="F5" s="44"/>
      <c r="G5" s="534"/>
      <c r="H5" s="322"/>
      <c r="I5" s="14"/>
      <c r="J5" s="40" t="s">
        <v>152</v>
      </c>
      <c r="K5" s="41" t="s">
        <v>0</v>
      </c>
      <c r="L5" s="534"/>
      <c r="M5" s="322"/>
      <c r="N5" s="14"/>
      <c r="O5" s="40" t="s">
        <v>152</v>
      </c>
      <c r="P5" s="41" t="s">
        <v>0</v>
      </c>
      <c r="Q5" s="661"/>
      <c r="R5" s="94"/>
      <c r="S5" s="14"/>
      <c r="T5" s="274"/>
      <c r="U5" s="270" t="s">
        <v>0</v>
      </c>
      <c r="V5" s="556"/>
      <c r="W5" s="94" t="s">
        <v>154</v>
      </c>
      <c r="X5" s="14" t="s">
        <v>149</v>
      </c>
      <c r="Y5" s="40">
        <f>ROUND(6*Y2/1000,0)</f>
        <v>10</v>
      </c>
      <c r="Z5" s="41" t="s">
        <v>0</v>
      </c>
      <c r="AA5" s="534"/>
      <c r="AB5" s="94"/>
      <c r="AC5" s="14"/>
      <c r="AD5" s="40" t="s">
        <v>152</v>
      </c>
      <c r="AE5" s="41" t="s">
        <v>0</v>
      </c>
      <c r="AF5" s="537"/>
      <c r="AG5" s="42"/>
      <c r="AH5" s="7"/>
      <c r="AI5" s="43"/>
      <c r="AJ5" s="44"/>
      <c r="AK5" s="91"/>
      <c r="AL5"/>
      <c r="AM5"/>
      <c r="AN5"/>
      <c r="AO5"/>
      <c r="AP5"/>
      <c r="AQ5"/>
      <c r="AR5"/>
      <c r="AS5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</row>
    <row r="6" spans="1:86" s="1" customFormat="1" ht="18" hidden="1" customHeight="1" thickBot="1">
      <c r="A6" s="537"/>
      <c r="B6" s="537"/>
      <c r="C6" s="42"/>
      <c r="D6" s="7"/>
      <c r="E6" s="43"/>
      <c r="F6" s="44"/>
      <c r="G6" s="534"/>
      <c r="H6" s="208"/>
      <c r="I6" s="13"/>
      <c r="J6" s="45"/>
      <c r="K6" s="13"/>
      <c r="L6" s="534"/>
      <c r="M6" s="208"/>
      <c r="N6" s="13"/>
      <c r="O6" s="45"/>
      <c r="P6" s="13"/>
      <c r="Q6" s="661"/>
      <c r="R6" s="95"/>
      <c r="S6" s="13"/>
      <c r="T6" s="275"/>
      <c r="U6" s="280"/>
      <c r="V6" s="556"/>
      <c r="W6" s="95"/>
      <c r="X6" s="13"/>
      <c r="Y6" s="45"/>
      <c r="Z6" s="46"/>
      <c r="AA6" s="534"/>
      <c r="AB6" s="95"/>
      <c r="AC6" s="13"/>
      <c r="AD6" s="45"/>
      <c r="AE6" s="13"/>
      <c r="AF6" s="537"/>
      <c r="AG6" s="42"/>
      <c r="AH6" s="7"/>
      <c r="AI6" s="43"/>
      <c r="AJ6" s="44"/>
      <c r="AK6" s="91"/>
      <c r="AL6"/>
      <c r="AM6"/>
      <c r="AN6"/>
      <c r="AO6"/>
      <c r="AP6"/>
      <c r="AQ6"/>
      <c r="AR6"/>
      <c r="AS6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</row>
    <row r="7" spans="1:86" s="1" customFormat="1" ht="18" hidden="1" customHeight="1">
      <c r="A7" s="537"/>
      <c r="B7" s="537"/>
      <c r="C7" s="42"/>
      <c r="D7" s="7"/>
      <c r="E7" s="43"/>
      <c r="F7" s="44"/>
      <c r="G7" s="534"/>
      <c r="H7" s="208"/>
      <c r="I7" s="13"/>
      <c r="J7" s="45"/>
      <c r="K7" s="13"/>
      <c r="L7" s="534"/>
      <c r="M7" s="208"/>
      <c r="N7" s="13"/>
      <c r="O7" s="45"/>
      <c r="P7" s="13"/>
      <c r="Q7" s="661"/>
      <c r="R7" s="95"/>
      <c r="S7" s="13"/>
      <c r="T7" s="275"/>
      <c r="U7" s="280"/>
      <c r="V7" s="556"/>
      <c r="W7" s="95"/>
      <c r="X7" s="13"/>
      <c r="Y7" s="45"/>
      <c r="Z7" s="46"/>
      <c r="AA7" s="534"/>
      <c r="AB7" s="95"/>
      <c r="AC7" s="13"/>
      <c r="AD7" s="45"/>
      <c r="AE7" s="13"/>
      <c r="AF7" s="537"/>
      <c r="AG7" s="42"/>
      <c r="AH7" s="7"/>
      <c r="AI7" s="43"/>
      <c r="AJ7" s="44"/>
      <c r="AK7" s="91"/>
      <c r="AL7"/>
      <c r="AM7"/>
      <c r="AN7"/>
      <c r="AO7"/>
      <c r="AP7"/>
      <c r="AQ7"/>
      <c r="AR7"/>
      <c r="AS7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</row>
    <row r="8" spans="1:86" s="1" customFormat="1" ht="18" hidden="1" customHeight="1">
      <c r="A8" s="537"/>
      <c r="B8" s="537"/>
      <c r="C8" s="42"/>
      <c r="D8" s="7"/>
      <c r="E8" s="43"/>
      <c r="F8" s="44"/>
      <c r="G8" s="534"/>
      <c r="H8" s="208"/>
      <c r="I8" s="13"/>
      <c r="J8" s="45"/>
      <c r="K8" s="13"/>
      <c r="L8" s="534"/>
      <c r="M8" s="208"/>
      <c r="N8" s="13"/>
      <c r="O8" s="45"/>
      <c r="P8" s="13"/>
      <c r="Q8" s="661"/>
      <c r="R8" s="95"/>
      <c r="S8" s="13"/>
      <c r="T8" s="275"/>
      <c r="U8" s="280"/>
      <c r="V8" s="556"/>
      <c r="W8" s="95"/>
      <c r="X8" s="13"/>
      <c r="Y8" s="45"/>
      <c r="Z8" s="46"/>
      <c r="AA8" s="534"/>
      <c r="AB8" s="95"/>
      <c r="AC8" s="13"/>
      <c r="AD8" s="45"/>
      <c r="AE8" s="13"/>
      <c r="AF8" s="537"/>
      <c r="AG8" s="42"/>
      <c r="AH8" s="7"/>
      <c r="AI8" s="43"/>
      <c r="AJ8" s="44"/>
      <c r="AK8" s="91"/>
      <c r="AL8"/>
      <c r="AM8"/>
      <c r="AN8"/>
      <c r="AO8"/>
      <c r="AP8"/>
      <c r="AQ8"/>
      <c r="AR8"/>
      <c r="AS8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</row>
    <row r="9" spans="1:86" s="1" customFormat="1" ht="18" hidden="1" customHeight="1">
      <c r="A9" s="537"/>
      <c r="B9" s="537"/>
      <c r="C9" s="42"/>
      <c r="D9" s="7"/>
      <c r="E9" s="43"/>
      <c r="F9" s="44"/>
      <c r="G9" s="534"/>
      <c r="H9" s="208"/>
      <c r="I9" s="13"/>
      <c r="J9" s="45"/>
      <c r="K9" s="13"/>
      <c r="L9" s="534"/>
      <c r="M9" s="208"/>
      <c r="N9" s="13"/>
      <c r="O9" s="45"/>
      <c r="P9" s="13"/>
      <c r="Q9" s="661"/>
      <c r="R9" s="95"/>
      <c r="S9" s="13"/>
      <c r="T9" s="275"/>
      <c r="U9" s="280"/>
      <c r="V9" s="556"/>
      <c r="W9" s="95"/>
      <c r="X9" s="13"/>
      <c r="Y9" s="45"/>
      <c r="Z9" s="46"/>
      <c r="AA9" s="534"/>
      <c r="AB9" s="95"/>
      <c r="AC9" s="13"/>
      <c r="AD9" s="45"/>
      <c r="AE9" s="13"/>
      <c r="AF9" s="537"/>
      <c r="AG9" s="42"/>
      <c r="AH9" s="7"/>
      <c r="AI9" s="43"/>
      <c r="AJ9" s="44"/>
      <c r="AK9" s="91"/>
      <c r="AL9"/>
      <c r="AM9"/>
      <c r="AN9"/>
      <c r="AO9"/>
      <c r="AP9"/>
      <c r="AQ9"/>
      <c r="AR9"/>
      <c r="AS9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</row>
    <row r="10" spans="1:86" s="1" customFormat="1" ht="18" hidden="1" customHeight="1">
      <c r="A10" s="537"/>
      <c r="B10" s="537"/>
      <c r="C10" s="42"/>
      <c r="D10" s="7"/>
      <c r="E10" s="43"/>
      <c r="F10" s="44"/>
      <c r="G10" s="534"/>
      <c r="H10" s="208"/>
      <c r="I10" s="13"/>
      <c r="J10" s="45"/>
      <c r="K10" s="13"/>
      <c r="L10" s="534"/>
      <c r="M10" s="208"/>
      <c r="N10" s="13"/>
      <c r="O10" s="45"/>
      <c r="P10" s="13"/>
      <c r="Q10" s="661"/>
      <c r="R10" s="95"/>
      <c r="S10" s="13"/>
      <c r="T10" s="275"/>
      <c r="U10" s="280"/>
      <c r="V10" s="556"/>
      <c r="W10" s="95"/>
      <c r="X10" s="13"/>
      <c r="Y10" s="45"/>
      <c r="Z10" s="46"/>
      <c r="AA10" s="534"/>
      <c r="AB10" s="95"/>
      <c r="AC10" s="13"/>
      <c r="AD10" s="45"/>
      <c r="AE10" s="13"/>
      <c r="AF10" s="537"/>
      <c r="AG10" s="42"/>
      <c r="AH10" s="7"/>
      <c r="AI10" s="43"/>
      <c r="AJ10" s="44"/>
      <c r="AK10" s="91"/>
      <c r="AL10"/>
      <c r="AM10"/>
      <c r="AN10"/>
      <c r="AO10"/>
      <c r="AP10"/>
      <c r="AQ10"/>
      <c r="AR10"/>
      <c r="AS10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</row>
    <row r="11" spans="1:86" s="1" customFormat="1" ht="18" hidden="1" customHeight="1">
      <c r="A11" s="537"/>
      <c r="B11" s="537"/>
      <c r="C11" s="42"/>
      <c r="D11" s="7"/>
      <c r="E11" s="43"/>
      <c r="F11" s="44"/>
      <c r="G11" s="534"/>
      <c r="H11" s="208"/>
      <c r="I11" s="13"/>
      <c r="J11" s="45"/>
      <c r="K11" s="13"/>
      <c r="L11" s="534"/>
      <c r="M11" s="208"/>
      <c r="N11" s="13"/>
      <c r="O11" s="45"/>
      <c r="P11" s="13"/>
      <c r="Q11" s="661"/>
      <c r="R11" s="95"/>
      <c r="S11" s="13"/>
      <c r="T11" s="275"/>
      <c r="U11" s="280"/>
      <c r="V11" s="556"/>
      <c r="W11" s="95"/>
      <c r="X11" s="13"/>
      <c r="Y11" s="45"/>
      <c r="Z11" s="46"/>
      <c r="AA11" s="534"/>
      <c r="AB11" s="95"/>
      <c r="AC11" s="13"/>
      <c r="AD11" s="45"/>
      <c r="AE11" s="13"/>
      <c r="AF11" s="537"/>
      <c r="AG11" s="42"/>
      <c r="AH11" s="7"/>
      <c r="AI11" s="43"/>
      <c r="AJ11" s="44"/>
      <c r="AK11" s="91"/>
      <c r="AL11"/>
      <c r="AM11"/>
      <c r="AN11"/>
      <c r="AO11"/>
      <c r="AP11"/>
      <c r="AQ11"/>
      <c r="AR11"/>
      <c r="AS11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</row>
    <row r="12" spans="1:86" s="1" customFormat="1" ht="18" hidden="1" customHeight="1">
      <c r="A12" s="537"/>
      <c r="B12" s="537"/>
      <c r="C12" s="42"/>
      <c r="D12" s="7"/>
      <c r="E12" s="43"/>
      <c r="F12" s="44"/>
      <c r="G12" s="534"/>
      <c r="H12" s="208"/>
      <c r="I12" s="13"/>
      <c r="J12" s="45"/>
      <c r="K12" s="13"/>
      <c r="L12" s="534"/>
      <c r="M12" s="208"/>
      <c r="N12" s="13"/>
      <c r="O12" s="45"/>
      <c r="P12" s="13"/>
      <c r="Q12" s="661"/>
      <c r="R12" s="95"/>
      <c r="S12" s="13"/>
      <c r="T12" s="275"/>
      <c r="U12" s="280"/>
      <c r="V12" s="556"/>
      <c r="W12" s="95"/>
      <c r="X12" s="13"/>
      <c r="Y12" s="45"/>
      <c r="Z12" s="46"/>
      <c r="AA12" s="534"/>
      <c r="AB12" s="95"/>
      <c r="AC12" s="13"/>
      <c r="AD12" s="45"/>
      <c r="AE12" s="13"/>
      <c r="AF12" s="537"/>
      <c r="AG12" s="42"/>
      <c r="AH12" s="7"/>
      <c r="AI12" s="43"/>
      <c r="AJ12" s="44"/>
      <c r="AK12" s="91"/>
      <c r="AL12"/>
      <c r="AM12"/>
      <c r="AN12"/>
      <c r="AO12"/>
      <c r="AP12"/>
      <c r="AQ12"/>
      <c r="AR12"/>
      <c r="AS12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</row>
    <row r="13" spans="1:86" s="1" customFormat="1" ht="18" hidden="1" customHeight="1">
      <c r="A13" s="537"/>
      <c r="B13" s="537"/>
      <c r="C13" s="42"/>
      <c r="D13" s="7"/>
      <c r="E13" s="43"/>
      <c r="F13" s="44"/>
      <c r="G13" s="534"/>
      <c r="H13" s="208"/>
      <c r="I13" s="13"/>
      <c r="J13" s="45"/>
      <c r="K13" s="13"/>
      <c r="L13" s="534"/>
      <c r="M13" s="208"/>
      <c r="N13" s="13"/>
      <c r="O13" s="45"/>
      <c r="P13" s="13"/>
      <c r="Q13" s="661"/>
      <c r="R13" s="95"/>
      <c r="S13" s="13"/>
      <c r="T13" s="275"/>
      <c r="U13" s="280"/>
      <c r="V13" s="556"/>
      <c r="W13" s="95"/>
      <c r="X13" s="13"/>
      <c r="Y13" s="45"/>
      <c r="Z13" s="46"/>
      <c r="AA13" s="534"/>
      <c r="AB13" s="95"/>
      <c r="AC13" s="13"/>
      <c r="AD13" s="45"/>
      <c r="AE13" s="13"/>
      <c r="AF13" s="537"/>
      <c r="AG13" s="42"/>
      <c r="AH13" s="7"/>
      <c r="AI13" s="43"/>
      <c r="AJ13" s="44"/>
      <c r="AK13" s="91"/>
      <c r="AL13"/>
      <c r="AM13"/>
      <c r="AN13"/>
      <c r="AO13"/>
      <c r="AP13"/>
      <c r="AQ13"/>
      <c r="AR13"/>
      <c r="AS13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</row>
    <row r="14" spans="1:86" s="1" customFormat="1" ht="18" hidden="1" customHeight="1">
      <c r="A14" s="537"/>
      <c r="B14" s="537"/>
      <c r="C14" s="42"/>
      <c r="D14" s="7"/>
      <c r="E14" s="43"/>
      <c r="F14" s="44"/>
      <c r="G14" s="534"/>
      <c r="H14" s="208"/>
      <c r="I14" s="13"/>
      <c r="J14" s="45"/>
      <c r="K14" s="13"/>
      <c r="L14" s="534"/>
      <c r="M14" s="208"/>
      <c r="N14" s="13"/>
      <c r="O14" s="45"/>
      <c r="P14" s="13"/>
      <c r="Q14" s="661"/>
      <c r="R14" s="95"/>
      <c r="S14" s="13"/>
      <c r="T14" s="275"/>
      <c r="U14" s="280"/>
      <c r="V14" s="556"/>
      <c r="W14" s="95"/>
      <c r="X14" s="13"/>
      <c r="Y14" s="45"/>
      <c r="Z14" s="46"/>
      <c r="AA14" s="534"/>
      <c r="AB14" s="95"/>
      <c r="AC14" s="13"/>
      <c r="AD14" s="45"/>
      <c r="AE14" s="13"/>
      <c r="AF14" s="537"/>
      <c r="AG14" s="42"/>
      <c r="AH14" s="7"/>
      <c r="AI14" s="43"/>
      <c r="AJ14" s="44"/>
      <c r="AK14" s="91"/>
      <c r="AL14"/>
      <c r="AM14"/>
      <c r="AN14"/>
      <c r="AO14"/>
      <c r="AP14"/>
      <c r="AQ14"/>
      <c r="AR14"/>
      <c r="AS1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</row>
    <row r="15" spans="1:86" s="1" customFormat="1" ht="18" hidden="1" customHeight="1">
      <c r="A15" s="537"/>
      <c r="B15" s="537"/>
      <c r="C15" s="42"/>
      <c r="D15" s="7"/>
      <c r="E15" s="43"/>
      <c r="F15" s="44"/>
      <c r="G15" s="534"/>
      <c r="H15" s="208"/>
      <c r="I15" s="13"/>
      <c r="J15" s="45"/>
      <c r="K15" s="13"/>
      <c r="L15" s="534"/>
      <c r="M15" s="208"/>
      <c r="N15" s="13"/>
      <c r="O15" s="45"/>
      <c r="P15" s="13"/>
      <c r="Q15" s="661"/>
      <c r="R15" s="95"/>
      <c r="S15" s="13"/>
      <c r="T15" s="275"/>
      <c r="U15" s="280"/>
      <c r="V15" s="556"/>
      <c r="W15" s="95"/>
      <c r="X15" s="13"/>
      <c r="Y15" s="45"/>
      <c r="Z15" s="46"/>
      <c r="AA15" s="534"/>
      <c r="AB15" s="95"/>
      <c r="AC15" s="13"/>
      <c r="AD15" s="45"/>
      <c r="AE15" s="13"/>
      <c r="AF15" s="537"/>
      <c r="AG15" s="42"/>
      <c r="AH15" s="7"/>
      <c r="AI15" s="43"/>
      <c r="AJ15" s="44"/>
      <c r="AK15" s="91"/>
      <c r="AL15"/>
      <c r="AM15"/>
      <c r="AN15"/>
      <c r="AO15"/>
      <c r="AP15"/>
      <c r="AQ15"/>
      <c r="AR15"/>
      <c r="AS15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</row>
    <row r="16" spans="1:86" s="1" customFormat="1" ht="18" hidden="1" customHeight="1">
      <c r="A16" s="537"/>
      <c r="B16" s="537"/>
      <c r="C16" s="42"/>
      <c r="D16" s="7"/>
      <c r="E16" s="43"/>
      <c r="F16" s="44"/>
      <c r="G16" s="534"/>
      <c r="H16" s="208"/>
      <c r="I16" s="13"/>
      <c r="J16" s="45"/>
      <c r="K16" s="13"/>
      <c r="L16" s="534"/>
      <c r="M16" s="208"/>
      <c r="N16" s="13"/>
      <c r="O16" s="45"/>
      <c r="P16" s="13"/>
      <c r="Q16" s="661"/>
      <c r="R16" s="95"/>
      <c r="S16" s="13"/>
      <c r="T16" s="275"/>
      <c r="U16" s="280"/>
      <c r="V16" s="556"/>
      <c r="W16" s="95"/>
      <c r="X16" s="13"/>
      <c r="Y16" s="45"/>
      <c r="Z16" s="46"/>
      <c r="AA16" s="534"/>
      <c r="AB16" s="95"/>
      <c r="AC16" s="13"/>
      <c r="AD16" s="45"/>
      <c r="AE16" s="13"/>
      <c r="AF16" s="537"/>
      <c r="AG16" s="42"/>
      <c r="AH16" s="7"/>
      <c r="AI16" s="43"/>
      <c r="AJ16" s="44"/>
      <c r="AK16" s="91"/>
      <c r="AL16"/>
      <c r="AM16"/>
      <c r="AN16"/>
      <c r="AO16"/>
      <c r="AP16"/>
      <c r="AQ16"/>
      <c r="AR16"/>
      <c r="AS16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</row>
    <row r="17" spans="1:86" s="1" customFormat="1" ht="18" hidden="1" customHeight="1">
      <c r="A17" s="537"/>
      <c r="B17" s="537"/>
      <c r="C17" s="42"/>
      <c r="D17" s="7"/>
      <c r="E17" s="43"/>
      <c r="F17" s="44"/>
      <c r="G17" s="534"/>
      <c r="H17" s="208"/>
      <c r="I17" s="13"/>
      <c r="J17" s="45"/>
      <c r="K17" s="13"/>
      <c r="L17" s="534"/>
      <c r="M17" s="208"/>
      <c r="N17" s="13"/>
      <c r="O17" s="45"/>
      <c r="P17" s="13"/>
      <c r="Q17" s="661"/>
      <c r="R17" s="95"/>
      <c r="S17" s="13"/>
      <c r="T17" s="275"/>
      <c r="U17" s="280"/>
      <c r="V17" s="556"/>
      <c r="W17" s="95"/>
      <c r="X17" s="13"/>
      <c r="Y17" s="45"/>
      <c r="Z17" s="46"/>
      <c r="AA17" s="534"/>
      <c r="AB17" s="95"/>
      <c r="AC17" s="13"/>
      <c r="AD17" s="45"/>
      <c r="AE17" s="13"/>
      <c r="AF17" s="537"/>
      <c r="AG17" s="42"/>
      <c r="AH17" s="7"/>
      <c r="AI17" s="43"/>
      <c r="AJ17" s="44"/>
      <c r="AK17" s="91"/>
      <c r="AL17"/>
      <c r="AM17"/>
      <c r="AN17"/>
      <c r="AO17"/>
      <c r="AP17"/>
      <c r="AQ17"/>
      <c r="AR17"/>
      <c r="AS17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</row>
    <row r="18" spans="1:86" s="1" customFormat="1" ht="18" hidden="1" customHeight="1">
      <c r="A18" s="537"/>
      <c r="B18" s="538"/>
      <c r="C18" s="47"/>
      <c r="D18" s="48"/>
      <c r="E18" s="49"/>
      <c r="F18" s="50"/>
      <c r="G18" s="535"/>
      <c r="H18" s="323"/>
      <c r="I18" s="14"/>
      <c r="J18" s="40"/>
      <c r="K18" s="14"/>
      <c r="L18" s="535"/>
      <c r="M18" s="323"/>
      <c r="N18" s="14"/>
      <c r="O18" s="40"/>
      <c r="P18" s="14"/>
      <c r="Q18" s="662"/>
      <c r="R18" s="95"/>
      <c r="S18" s="13"/>
      <c r="T18" s="274"/>
      <c r="U18" s="281"/>
      <c r="V18" s="557"/>
      <c r="W18" s="96"/>
      <c r="X18" s="14"/>
      <c r="Y18" s="40"/>
      <c r="Z18" s="41"/>
      <c r="AA18" s="535"/>
      <c r="AB18" s="96"/>
      <c r="AC18" s="14"/>
      <c r="AD18" s="40"/>
      <c r="AE18" s="14"/>
      <c r="AF18" s="538"/>
      <c r="AG18" s="47"/>
      <c r="AH18" s="48"/>
      <c r="AI18" s="49"/>
      <c r="AJ18" s="50"/>
      <c r="AK18" s="91"/>
      <c r="AL18"/>
      <c r="AM18"/>
      <c r="AN18"/>
      <c r="AO18"/>
      <c r="AP18"/>
      <c r="AQ18"/>
      <c r="AR18"/>
      <c r="AS18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</row>
    <row r="19" spans="1:86" s="1" customFormat="1" ht="18" hidden="1" customHeight="1">
      <c r="A19" s="539" t="s">
        <v>47</v>
      </c>
      <c r="B19" s="643"/>
      <c r="C19" s="187"/>
      <c r="D19" s="188"/>
      <c r="E19" s="189"/>
      <c r="F19" s="190"/>
      <c r="G19" s="545"/>
      <c r="H19" s="95"/>
      <c r="I19" s="13"/>
      <c r="J19" s="276"/>
      <c r="K19" s="278"/>
      <c r="L19" s="548"/>
      <c r="M19" s="95"/>
      <c r="N19" s="13"/>
      <c r="O19" s="276"/>
      <c r="P19" s="278"/>
      <c r="Q19" s="548"/>
      <c r="R19" s="95"/>
      <c r="S19" s="13"/>
      <c r="T19" s="276"/>
      <c r="U19" s="278"/>
      <c r="V19" s="548"/>
      <c r="W19" s="95"/>
      <c r="X19" s="13"/>
      <c r="Y19" s="276"/>
      <c r="Z19" s="278"/>
      <c r="AA19" s="548"/>
      <c r="AB19" s="95"/>
      <c r="AC19" s="13"/>
      <c r="AD19" s="276"/>
      <c r="AE19" s="278"/>
      <c r="AF19" s="643"/>
      <c r="AG19" s="191"/>
      <c r="AH19" s="192"/>
      <c r="AI19" s="193"/>
      <c r="AJ19" s="190"/>
      <c r="AK19" s="91"/>
      <c r="AL19"/>
      <c r="AM19"/>
      <c r="AN19"/>
      <c r="AO19"/>
      <c r="AP19"/>
      <c r="AQ19"/>
      <c r="AR19"/>
      <c r="AS19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</row>
    <row r="20" spans="1:86" s="1" customFormat="1" ht="18" hidden="1" customHeight="1">
      <c r="A20" s="540"/>
      <c r="B20" s="644"/>
      <c r="C20" s="194"/>
      <c r="D20" s="195"/>
      <c r="E20" s="196"/>
      <c r="F20" s="197"/>
      <c r="G20" s="546"/>
      <c r="H20" s="95"/>
      <c r="I20" s="13"/>
      <c r="J20" s="276"/>
      <c r="K20" s="268"/>
      <c r="L20" s="549"/>
      <c r="M20" s="95"/>
      <c r="N20" s="13"/>
      <c r="O20" s="276"/>
      <c r="P20" s="268"/>
      <c r="Q20" s="549"/>
      <c r="R20" s="95"/>
      <c r="S20" s="13"/>
      <c r="T20" s="276"/>
      <c r="U20" s="268"/>
      <c r="V20" s="549"/>
      <c r="W20" s="95"/>
      <c r="X20" s="13"/>
      <c r="Y20" s="276"/>
      <c r="Z20" s="268"/>
      <c r="AA20" s="549"/>
      <c r="AB20" s="95"/>
      <c r="AC20" s="13"/>
      <c r="AD20" s="276"/>
      <c r="AE20" s="268"/>
      <c r="AF20" s="644"/>
      <c r="AG20" s="198"/>
      <c r="AH20" s="199"/>
      <c r="AI20" s="200"/>
      <c r="AJ20" s="197"/>
      <c r="AK20" s="91"/>
      <c r="AL20"/>
      <c r="AM20"/>
      <c r="AN20"/>
      <c r="AO20"/>
      <c r="AP20"/>
      <c r="AQ20"/>
      <c r="AR20"/>
      <c r="AS20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</row>
    <row r="21" spans="1:86" s="1" customFormat="1" ht="18" hidden="1" customHeight="1">
      <c r="A21" s="540"/>
      <c r="B21" s="644"/>
      <c r="C21" s="194"/>
      <c r="D21" s="195"/>
      <c r="E21" s="196"/>
      <c r="F21" s="197"/>
      <c r="G21" s="546"/>
      <c r="H21" s="95"/>
      <c r="I21" s="13"/>
      <c r="J21" s="276"/>
      <c r="K21" s="268"/>
      <c r="L21" s="549"/>
      <c r="M21" s="95"/>
      <c r="N21" s="13"/>
      <c r="O21" s="276"/>
      <c r="P21" s="268"/>
      <c r="Q21" s="549"/>
      <c r="R21" s="95"/>
      <c r="S21" s="13"/>
      <c r="T21" s="276"/>
      <c r="U21" s="268"/>
      <c r="V21" s="549"/>
      <c r="W21" s="95"/>
      <c r="X21" s="13"/>
      <c r="Y21" s="276"/>
      <c r="Z21" s="268"/>
      <c r="AA21" s="549"/>
      <c r="AB21" s="95"/>
      <c r="AC21" s="13"/>
      <c r="AD21" s="276"/>
      <c r="AE21" s="268"/>
      <c r="AF21" s="644"/>
      <c r="AG21" s="198"/>
      <c r="AH21" s="199"/>
      <c r="AI21" s="200"/>
      <c r="AJ21" s="197"/>
      <c r="AK21" s="91"/>
      <c r="AL21"/>
      <c r="AM21"/>
      <c r="AN21"/>
      <c r="AO21"/>
      <c r="AP21"/>
      <c r="AQ21"/>
      <c r="AR21"/>
      <c r="AS21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</row>
    <row r="22" spans="1:86" s="1" customFormat="1" ht="18" hidden="1" customHeight="1">
      <c r="A22" s="540"/>
      <c r="B22" s="644"/>
      <c r="C22" s="194"/>
      <c r="D22" s="195"/>
      <c r="E22" s="196"/>
      <c r="F22" s="197"/>
      <c r="G22" s="546"/>
      <c r="H22" s="95"/>
      <c r="I22" s="13"/>
      <c r="J22" s="276"/>
      <c r="K22" s="268"/>
      <c r="L22" s="549"/>
      <c r="M22" s="95"/>
      <c r="N22" s="13"/>
      <c r="O22" s="276"/>
      <c r="P22" s="268"/>
      <c r="Q22" s="549"/>
      <c r="R22" s="95"/>
      <c r="S22" s="13"/>
      <c r="T22" s="276"/>
      <c r="U22" s="268"/>
      <c r="V22" s="549"/>
      <c r="W22" s="95"/>
      <c r="X22" s="13"/>
      <c r="Y22" s="276"/>
      <c r="Z22" s="268"/>
      <c r="AA22" s="549"/>
      <c r="AB22" s="95"/>
      <c r="AC22" s="13"/>
      <c r="AD22" s="276"/>
      <c r="AE22" s="268"/>
      <c r="AF22" s="644"/>
      <c r="AG22" s="198"/>
      <c r="AH22" s="199"/>
      <c r="AI22" s="200"/>
      <c r="AJ22" s="197"/>
      <c r="AK22" s="91"/>
      <c r="AL22"/>
      <c r="AM22"/>
      <c r="AN22"/>
      <c r="AO22"/>
      <c r="AP22"/>
      <c r="AQ22"/>
      <c r="AR22"/>
      <c r="AS22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</row>
    <row r="23" spans="1:86" s="1" customFormat="1" ht="18" hidden="1" customHeight="1">
      <c r="A23" s="540"/>
      <c r="B23" s="644"/>
      <c r="C23" s="194"/>
      <c r="D23" s="195"/>
      <c r="E23" s="196"/>
      <c r="F23" s="197"/>
      <c r="G23" s="546"/>
      <c r="H23" s="95"/>
      <c r="I23" s="13"/>
      <c r="J23" s="276"/>
      <c r="K23" s="268"/>
      <c r="L23" s="549"/>
      <c r="M23" s="95"/>
      <c r="N23" s="13"/>
      <c r="O23" s="276"/>
      <c r="P23" s="268"/>
      <c r="Q23" s="549"/>
      <c r="R23" s="95"/>
      <c r="S23" s="13"/>
      <c r="T23" s="276"/>
      <c r="U23" s="268"/>
      <c r="V23" s="549"/>
      <c r="W23" s="95"/>
      <c r="X23" s="13"/>
      <c r="Y23" s="276"/>
      <c r="Z23" s="268"/>
      <c r="AA23" s="549"/>
      <c r="AB23" s="95"/>
      <c r="AC23" s="13"/>
      <c r="AD23" s="276"/>
      <c r="AE23" s="268"/>
      <c r="AF23" s="644"/>
      <c r="AG23" s="198"/>
      <c r="AH23" s="199"/>
      <c r="AI23" s="200"/>
      <c r="AJ23" s="197"/>
      <c r="AK23" s="91"/>
      <c r="AL23"/>
      <c r="AM23"/>
      <c r="AN23"/>
      <c r="AO23"/>
      <c r="AP23"/>
      <c r="AQ23"/>
      <c r="AR23"/>
      <c r="AS23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</row>
    <row r="24" spans="1:86" s="1" customFormat="1" ht="18" hidden="1" customHeight="1">
      <c r="A24" s="540"/>
      <c r="B24" s="644"/>
      <c r="C24" s="194"/>
      <c r="D24" s="195"/>
      <c r="E24" s="196"/>
      <c r="F24" s="197"/>
      <c r="G24" s="546"/>
      <c r="H24" s="95"/>
      <c r="I24" s="13"/>
      <c r="J24" s="276"/>
      <c r="K24" s="268"/>
      <c r="L24" s="549"/>
      <c r="M24" s="95"/>
      <c r="N24" s="13"/>
      <c r="O24" s="276"/>
      <c r="P24" s="268"/>
      <c r="Q24" s="549"/>
      <c r="R24" s="95"/>
      <c r="S24" s="13"/>
      <c r="T24" s="276"/>
      <c r="U24" s="268"/>
      <c r="V24" s="549"/>
      <c r="W24" s="95"/>
      <c r="X24" s="13"/>
      <c r="Y24" s="276"/>
      <c r="Z24" s="268"/>
      <c r="AA24" s="549"/>
      <c r="AB24" s="95"/>
      <c r="AC24" s="13"/>
      <c r="AD24" s="276"/>
      <c r="AE24" s="268"/>
      <c r="AF24" s="644"/>
      <c r="AG24" s="198"/>
      <c r="AH24" s="199"/>
      <c r="AI24" s="200"/>
      <c r="AJ24" s="197"/>
      <c r="AK24" s="91"/>
      <c r="AL24"/>
      <c r="AM24"/>
      <c r="AN24"/>
      <c r="AO24"/>
      <c r="AP24"/>
      <c r="AQ24"/>
      <c r="AR24"/>
      <c r="AS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</row>
    <row r="25" spans="1:86" s="1" customFormat="1" ht="18" hidden="1" customHeight="1">
      <c r="A25" s="540"/>
      <c r="B25" s="644"/>
      <c r="C25" s="194"/>
      <c r="D25" s="195"/>
      <c r="E25" s="196"/>
      <c r="F25" s="197"/>
      <c r="G25" s="546"/>
      <c r="H25" s="95"/>
      <c r="I25" s="13"/>
      <c r="J25" s="276"/>
      <c r="K25" s="268"/>
      <c r="L25" s="549"/>
      <c r="M25" s="95"/>
      <c r="N25" s="13"/>
      <c r="O25" s="276"/>
      <c r="P25" s="268"/>
      <c r="Q25" s="549"/>
      <c r="R25" s="95"/>
      <c r="S25" s="13"/>
      <c r="T25" s="276"/>
      <c r="U25" s="268"/>
      <c r="V25" s="549"/>
      <c r="W25" s="95"/>
      <c r="X25" s="13"/>
      <c r="Y25" s="276"/>
      <c r="Z25" s="268"/>
      <c r="AA25" s="549"/>
      <c r="AB25" s="95"/>
      <c r="AC25" s="13"/>
      <c r="AD25" s="276"/>
      <c r="AE25" s="268"/>
      <c r="AF25" s="644"/>
      <c r="AG25" s="198"/>
      <c r="AH25" s="199"/>
      <c r="AI25" s="200"/>
      <c r="AJ25" s="197"/>
      <c r="AK25" s="91"/>
      <c r="AL25"/>
      <c r="AM25"/>
      <c r="AN25"/>
      <c r="AO25"/>
      <c r="AP25"/>
      <c r="AQ25"/>
      <c r="AR25"/>
      <c r="AS25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</row>
    <row r="26" spans="1:86" s="1" customFormat="1" ht="18" hidden="1" customHeight="1">
      <c r="A26" s="540"/>
      <c r="B26" s="644"/>
      <c r="C26" s="194"/>
      <c r="D26" s="195"/>
      <c r="E26" s="196"/>
      <c r="F26" s="197"/>
      <c r="G26" s="546"/>
      <c r="H26" s="95"/>
      <c r="I26" s="13"/>
      <c r="J26" s="276"/>
      <c r="K26" s="268"/>
      <c r="L26" s="549"/>
      <c r="M26" s="95"/>
      <c r="N26" s="13"/>
      <c r="O26" s="276"/>
      <c r="P26" s="268"/>
      <c r="Q26" s="549"/>
      <c r="R26" s="95"/>
      <c r="S26" s="13"/>
      <c r="T26" s="276"/>
      <c r="U26" s="268"/>
      <c r="V26" s="549"/>
      <c r="W26" s="95"/>
      <c r="X26" s="13"/>
      <c r="Y26" s="276"/>
      <c r="Z26" s="268"/>
      <c r="AA26" s="549"/>
      <c r="AB26" s="95"/>
      <c r="AC26" s="13"/>
      <c r="AD26" s="276"/>
      <c r="AE26" s="268"/>
      <c r="AF26" s="644"/>
      <c r="AG26" s="198"/>
      <c r="AH26" s="199"/>
      <c r="AI26" s="200"/>
      <c r="AJ26" s="197"/>
      <c r="AK26" s="91"/>
      <c r="AL26"/>
      <c r="AM26"/>
      <c r="AN26"/>
      <c r="AO26"/>
      <c r="AP26"/>
      <c r="AQ26"/>
      <c r="AR26"/>
      <c r="AS26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</row>
    <row r="27" spans="1:86" s="1" customFormat="1" ht="18" hidden="1" customHeight="1">
      <c r="A27" s="540"/>
      <c r="B27" s="644"/>
      <c r="C27" s="194"/>
      <c r="D27" s="195"/>
      <c r="E27" s="196"/>
      <c r="F27" s="197"/>
      <c r="G27" s="546"/>
      <c r="H27" s="95"/>
      <c r="I27" s="13"/>
      <c r="J27" s="276"/>
      <c r="K27" s="268"/>
      <c r="L27" s="549"/>
      <c r="M27" s="95"/>
      <c r="N27" s="13"/>
      <c r="O27" s="276"/>
      <c r="P27" s="268"/>
      <c r="Q27" s="549"/>
      <c r="R27" s="95"/>
      <c r="S27" s="13"/>
      <c r="T27" s="276"/>
      <c r="U27" s="268"/>
      <c r="V27" s="549"/>
      <c r="W27" s="95"/>
      <c r="X27" s="13"/>
      <c r="Y27" s="276"/>
      <c r="Z27" s="268"/>
      <c r="AA27" s="549"/>
      <c r="AB27" s="95"/>
      <c r="AC27" s="13"/>
      <c r="AD27" s="276"/>
      <c r="AE27" s="268"/>
      <c r="AF27" s="644"/>
      <c r="AG27" s="198"/>
      <c r="AH27" s="199"/>
      <c r="AI27" s="200"/>
      <c r="AJ27" s="197"/>
      <c r="AK27" s="91"/>
      <c r="AL27"/>
      <c r="AM27"/>
      <c r="AN27"/>
      <c r="AO27"/>
      <c r="AP27"/>
      <c r="AQ27"/>
      <c r="AR27"/>
      <c r="AS27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</row>
    <row r="28" spans="1:86" s="1" customFormat="1" ht="18" hidden="1" customHeight="1">
      <c r="A28" s="540"/>
      <c r="B28" s="644"/>
      <c r="C28" s="194"/>
      <c r="D28" s="195"/>
      <c r="E28" s="196"/>
      <c r="F28" s="197"/>
      <c r="G28" s="546"/>
      <c r="H28" s="95"/>
      <c r="I28" s="13"/>
      <c r="J28" s="276"/>
      <c r="K28" s="268"/>
      <c r="L28" s="549"/>
      <c r="M28" s="95"/>
      <c r="N28" s="13"/>
      <c r="O28" s="276"/>
      <c r="P28" s="268"/>
      <c r="Q28" s="549"/>
      <c r="R28" s="95"/>
      <c r="S28" s="13"/>
      <c r="T28" s="276"/>
      <c r="U28" s="268"/>
      <c r="V28" s="549"/>
      <c r="W28" s="95"/>
      <c r="X28" s="13"/>
      <c r="Y28" s="276"/>
      <c r="Z28" s="268"/>
      <c r="AA28" s="549"/>
      <c r="AB28" s="95"/>
      <c r="AC28" s="13"/>
      <c r="AD28" s="276"/>
      <c r="AE28" s="268"/>
      <c r="AF28" s="644"/>
      <c r="AG28" s="198"/>
      <c r="AH28" s="199"/>
      <c r="AI28" s="200"/>
      <c r="AJ28" s="197"/>
      <c r="AK28" s="91"/>
      <c r="AL28"/>
      <c r="AM28"/>
      <c r="AN28"/>
      <c r="AO28"/>
      <c r="AP28"/>
      <c r="AQ28"/>
      <c r="AR28"/>
      <c r="AS28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</row>
    <row r="29" spans="1:86" s="1" customFormat="1" ht="18" hidden="1" customHeight="1">
      <c r="A29" s="540"/>
      <c r="B29" s="644"/>
      <c r="C29" s="194"/>
      <c r="D29" s="195"/>
      <c r="E29" s="196"/>
      <c r="F29" s="197"/>
      <c r="G29" s="546"/>
      <c r="H29" s="95"/>
      <c r="I29" s="13"/>
      <c r="J29" s="276"/>
      <c r="K29" s="268"/>
      <c r="L29" s="549"/>
      <c r="M29" s="95"/>
      <c r="N29" s="13"/>
      <c r="O29" s="276"/>
      <c r="P29" s="268"/>
      <c r="Q29" s="549"/>
      <c r="R29" s="95"/>
      <c r="S29" s="13"/>
      <c r="T29" s="276"/>
      <c r="U29" s="268"/>
      <c r="V29" s="549"/>
      <c r="W29" s="95"/>
      <c r="X29" s="13"/>
      <c r="Y29" s="276"/>
      <c r="Z29" s="268"/>
      <c r="AA29" s="549"/>
      <c r="AB29" s="95"/>
      <c r="AC29" s="13"/>
      <c r="AD29" s="276"/>
      <c r="AE29" s="268"/>
      <c r="AF29" s="644"/>
      <c r="AG29" s="198"/>
      <c r="AH29" s="199"/>
      <c r="AI29" s="200"/>
      <c r="AJ29" s="197"/>
      <c r="AK29" s="91"/>
      <c r="AL29"/>
      <c r="AM29"/>
      <c r="AN29"/>
      <c r="AO29"/>
      <c r="AP29"/>
      <c r="AQ29"/>
      <c r="AR29"/>
      <c r="AS29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</row>
    <row r="30" spans="1:86" s="1" customFormat="1" ht="18" hidden="1" customHeight="1">
      <c r="A30" s="540"/>
      <c r="B30" s="644"/>
      <c r="C30" s="194"/>
      <c r="D30" s="195"/>
      <c r="E30" s="196"/>
      <c r="F30" s="197"/>
      <c r="G30" s="546"/>
      <c r="H30" s="95"/>
      <c r="I30" s="13"/>
      <c r="J30" s="276"/>
      <c r="K30" s="268"/>
      <c r="L30" s="549"/>
      <c r="M30" s="95"/>
      <c r="N30" s="13"/>
      <c r="O30" s="276"/>
      <c r="P30" s="268"/>
      <c r="Q30" s="549"/>
      <c r="R30" s="95"/>
      <c r="S30" s="13"/>
      <c r="T30" s="276"/>
      <c r="U30" s="268"/>
      <c r="V30" s="549"/>
      <c r="W30" s="95"/>
      <c r="X30" s="13"/>
      <c r="Y30" s="276"/>
      <c r="Z30" s="268"/>
      <c r="AA30" s="549"/>
      <c r="AB30" s="95"/>
      <c r="AC30" s="13"/>
      <c r="AD30" s="276"/>
      <c r="AE30" s="268"/>
      <c r="AF30" s="644"/>
      <c r="AG30" s="198"/>
      <c r="AH30" s="199"/>
      <c r="AI30" s="200"/>
      <c r="AJ30" s="197"/>
      <c r="AK30" s="91"/>
      <c r="AL30"/>
      <c r="AM30"/>
      <c r="AN30"/>
      <c r="AO30"/>
      <c r="AP30"/>
      <c r="AQ30"/>
      <c r="AR30"/>
      <c r="AS30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</row>
    <row r="31" spans="1:86" s="1" customFormat="1" ht="18" hidden="1" customHeight="1">
      <c r="A31" s="540"/>
      <c r="B31" s="644"/>
      <c r="C31" s="194"/>
      <c r="D31" s="195"/>
      <c r="E31" s="196"/>
      <c r="F31" s="197"/>
      <c r="G31" s="546"/>
      <c r="H31" s="95"/>
      <c r="I31" s="13"/>
      <c r="J31" s="276"/>
      <c r="K31" s="268"/>
      <c r="L31" s="549"/>
      <c r="M31" s="95"/>
      <c r="N31" s="13"/>
      <c r="O31" s="276"/>
      <c r="P31" s="268"/>
      <c r="Q31" s="549"/>
      <c r="R31" s="95"/>
      <c r="S31" s="13"/>
      <c r="T31" s="276"/>
      <c r="U31" s="268"/>
      <c r="V31" s="549"/>
      <c r="W31" s="95"/>
      <c r="X31" s="13"/>
      <c r="Y31" s="276"/>
      <c r="Z31" s="268"/>
      <c r="AA31" s="549"/>
      <c r="AB31" s="95"/>
      <c r="AC31" s="13"/>
      <c r="AD31" s="276"/>
      <c r="AE31" s="268"/>
      <c r="AF31" s="644"/>
      <c r="AG31" s="198"/>
      <c r="AH31" s="199"/>
      <c r="AI31" s="200"/>
      <c r="AJ31" s="197"/>
      <c r="AK31" s="91"/>
      <c r="AL31"/>
      <c r="AM31"/>
      <c r="AN31"/>
      <c r="AO31"/>
      <c r="AP31"/>
      <c r="AQ31"/>
      <c r="AR31"/>
      <c r="AS31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</row>
    <row r="32" spans="1:86" s="1" customFormat="1" ht="18" hidden="1" customHeight="1">
      <c r="A32" s="540"/>
      <c r="B32" s="644"/>
      <c r="C32" s="194"/>
      <c r="D32" s="195"/>
      <c r="E32" s="196"/>
      <c r="F32" s="197"/>
      <c r="G32" s="546"/>
      <c r="H32" s="95"/>
      <c r="I32" s="13"/>
      <c r="J32" s="276"/>
      <c r="K32" s="268"/>
      <c r="L32" s="549"/>
      <c r="M32" s="95"/>
      <c r="N32" s="13"/>
      <c r="O32" s="276"/>
      <c r="P32" s="268"/>
      <c r="Q32" s="549"/>
      <c r="R32" s="95"/>
      <c r="S32" s="13"/>
      <c r="T32" s="276"/>
      <c r="U32" s="268"/>
      <c r="V32" s="549"/>
      <c r="W32" s="95"/>
      <c r="X32" s="13"/>
      <c r="Y32" s="276"/>
      <c r="Z32" s="268"/>
      <c r="AA32" s="549"/>
      <c r="AB32" s="95"/>
      <c r="AC32" s="13"/>
      <c r="AD32" s="276"/>
      <c r="AE32" s="268"/>
      <c r="AF32" s="644"/>
      <c r="AG32" s="198"/>
      <c r="AH32" s="199"/>
      <c r="AI32" s="200"/>
      <c r="AJ32" s="197"/>
      <c r="AK32" s="91"/>
      <c r="AL32"/>
      <c r="AM32"/>
      <c r="AN32"/>
      <c r="AO32"/>
      <c r="AP32"/>
      <c r="AQ32"/>
      <c r="AR32"/>
      <c r="AS32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</row>
    <row r="33" spans="1:86" s="1" customFormat="1" ht="18" hidden="1" customHeight="1">
      <c r="A33" s="541"/>
      <c r="B33" s="645"/>
      <c r="C33" s="201"/>
      <c r="D33" s="202"/>
      <c r="E33" s="203"/>
      <c r="F33" s="204"/>
      <c r="G33" s="547"/>
      <c r="H33" s="95"/>
      <c r="I33" s="13"/>
      <c r="J33" s="276"/>
      <c r="K33" s="268"/>
      <c r="L33" s="550"/>
      <c r="M33" s="95"/>
      <c r="N33" s="13"/>
      <c r="O33" s="276"/>
      <c r="P33" s="269"/>
      <c r="Q33" s="550"/>
      <c r="R33" s="95"/>
      <c r="S33" s="13"/>
      <c r="T33" s="276"/>
      <c r="U33" s="269"/>
      <c r="V33" s="550"/>
      <c r="W33" s="95"/>
      <c r="X33" s="13"/>
      <c r="Y33" s="276"/>
      <c r="Z33" s="269"/>
      <c r="AA33" s="550"/>
      <c r="AB33" s="95"/>
      <c r="AC33" s="13"/>
      <c r="AD33" s="276"/>
      <c r="AE33" s="269"/>
      <c r="AF33" s="645"/>
      <c r="AG33" s="205"/>
      <c r="AH33" s="206"/>
      <c r="AI33" s="207"/>
      <c r="AJ33" s="204"/>
      <c r="AK33" s="91"/>
      <c r="AL33"/>
      <c r="AM33"/>
      <c r="AN33"/>
      <c r="AO33"/>
      <c r="AP33"/>
      <c r="AQ33"/>
      <c r="AR33"/>
      <c r="AS33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</row>
    <row r="34" spans="1:86" s="1" customFormat="1" ht="18" customHeight="1">
      <c r="A34" s="539" t="s">
        <v>48</v>
      </c>
      <c r="B34" s="643"/>
      <c r="C34" s="187"/>
      <c r="D34" s="188"/>
      <c r="E34" s="189"/>
      <c r="F34" s="190"/>
      <c r="G34" s="567" t="s">
        <v>234</v>
      </c>
      <c r="H34" s="93" t="s">
        <v>282</v>
      </c>
      <c r="I34" s="9"/>
      <c r="J34" s="253">
        <f>ROUND(40*J$2/1000,0)</f>
        <v>70</v>
      </c>
      <c r="K34" s="223" t="s">
        <v>0</v>
      </c>
      <c r="L34" s="567" t="s">
        <v>233</v>
      </c>
      <c r="M34" s="327" t="s">
        <v>283</v>
      </c>
      <c r="N34" s="9" t="s">
        <v>284</v>
      </c>
      <c r="O34" s="253">
        <f>MROUND(37*O$2/1000,3)</f>
        <v>63</v>
      </c>
      <c r="P34" s="332" t="s">
        <v>5</v>
      </c>
      <c r="Q34" s="567" t="s">
        <v>290</v>
      </c>
      <c r="R34" s="93" t="s">
        <v>170</v>
      </c>
      <c r="S34" s="9"/>
      <c r="T34" s="253">
        <f>MROUND(40*T$2/1000,3)</f>
        <v>69</v>
      </c>
      <c r="U34" s="223" t="s">
        <v>0</v>
      </c>
      <c r="V34" s="567" t="s">
        <v>235</v>
      </c>
      <c r="W34" s="93" t="s">
        <v>92</v>
      </c>
      <c r="X34" s="9" t="s">
        <v>1</v>
      </c>
      <c r="Y34" s="253">
        <f>ROUND(75*Y$2/1000,0)</f>
        <v>131</v>
      </c>
      <c r="Z34" s="223" t="s">
        <v>0</v>
      </c>
      <c r="AA34" s="567" t="s">
        <v>374</v>
      </c>
      <c r="AB34" s="208" t="s">
        <v>155</v>
      </c>
      <c r="AC34" s="13"/>
      <c r="AD34" s="254">
        <f>AD2*1.02</f>
        <v>1779.9</v>
      </c>
      <c r="AE34" s="468" t="s">
        <v>1</v>
      </c>
      <c r="AF34" s="643"/>
      <c r="AG34" s="191"/>
      <c r="AH34" s="192"/>
      <c r="AI34" s="193"/>
      <c r="AJ34" s="190"/>
      <c r="AK34" s="91"/>
      <c r="AL34"/>
      <c r="AM34"/>
      <c r="AN34"/>
      <c r="AO34"/>
      <c r="AP34"/>
      <c r="AQ34"/>
      <c r="AR34"/>
      <c r="AS3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</row>
    <row r="35" spans="1:86" s="1" customFormat="1" ht="18" customHeight="1">
      <c r="A35" s="540"/>
      <c r="B35" s="644"/>
      <c r="C35" s="194"/>
      <c r="D35" s="195"/>
      <c r="E35" s="196"/>
      <c r="F35" s="197"/>
      <c r="G35" s="568"/>
      <c r="H35" s="97" t="s">
        <v>92</v>
      </c>
      <c r="I35" s="13" t="s">
        <v>96</v>
      </c>
      <c r="J35" s="254">
        <f>ROUND(75*J$2/1000,0)</f>
        <v>131</v>
      </c>
      <c r="K35" s="255" t="s">
        <v>0</v>
      </c>
      <c r="L35" s="568"/>
      <c r="M35" s="208" t="s">
        <v>285</v>
      </c>
      <c r="N35" s="13" t="s">
        <v>284</v>
      </c>
      <c r="O35" s="254">
        <f>MROUND(40*O$2/1000,18)</f>
        <v>72</v>
      </c>
      <c r="P35" s="255" t="s">
        <v>5</v>
      </c>
      <c r="Q35" s="568"/>
      <c r="R35" s="97" t="s">
        <v>139</v>
      </c>
      <c r="S35" s="13"/>
      <c r="T35" s="367">
        <f>ROUND(14*T$2/1000,0)</f>
        <v>24</v>
      </c>
      <c r="U35" s="255" t="s">
        <v>0</v>
      </c>
      <c r="V35" s="568"/>
      <c r="W35" s="97" t="s">
        <v>108</v>
      </c>
      <c r="X35" s="13"/>
      <c r="Y35" s="254">
        <f>ROUND(25*Y$2/1000,0)</f>
        <v>44</v>
      </c>
      <c r="Z35" s="255" t="s">
        <v>0</v>
      </c>
      <c r="AA35" s="568"/>
      <c r="AB35" s="329" t="s">
        <v>205</v>
      </c>
      <c r="AC35" s="113"/>
      <c r="AD35" s="256">
        <v>22</v>
      </c>
      <c r="AE35" s="260" t="s">
        <v>1</v>
      </c>
      <c r="AF35" s="644"/>
      <c r="AG35" s="198"/>
      <c r="AH35" s="199"/>
      <c r="AI35" s="200"/>
      <c r="AJ35" s="197"/>
      <c r="AK35" s="91"/>
      <c r="AL35"/>
      <c r="AM35"/>
      <c r="AN35"/>
      <c r="AO35"/>
      <c r="AP35"/>
      <c r="AQ35"/>
      <c r="AR35"/>
      <c r="AS35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</row>
    <row r="36" spans="1:86" s="1" customFormat="1" ht="18" customHeight="1">
      <c r="A36" s="540"/>
      <c r="B36" s="644"/>
      <c r="C36" s="194"/>
      <c r="D36" s="195"/>
      <c r="E36" s="196"/>
      <c r="F36" s="197"/>
      <c r="G36" s="568"/>
      <c r="H36" s="319" t="s">
        <v>163</v>
      </c>
      <c r="I36" s="113"/>
      <c r="J36" s="256">
        <v>1.2</v>
      </c>
      <c r="K36" s="255" t="s">
        <v>0</v>
      </c>
      <c r="L36" s="568"/>
      <c r="M36" s="95" t="s">
        <v>236</v>
      </c>
      <c r="N36" s="13"/>
      <c r="O36" s="254">
        <v>4</v>
      </c>
      <c r="P36" s="335" t="s">
        <v>27</v>
      </c>
      <c r="Q36" s="568"/>
      <c r="R36" s="97" t="s">
        <v>136</v>
      </c>
      <c r="S36" s="13"/>
      <c r="T36" s="254">
        <f>ROUND(10*T$2/1000,0)</f>
        <v>17</v>
      </c>
      <c r="U36" s="255" t="s">
        <v>0</v>
      </c>
      <c r="V36" s="568"/>
      <c r="W36" s="97" t="s">
        <v>238</v>
      </c>
      <c r="X36" s="13"/>
      <c r="Y36" s="254">
        <f>ROUND(10*Y$2/1000,0)</f>
        <v>17</v>
      </c>
      <c r="Z36" s="255" t="s">
        <v>0</v>
      </c>
      <c r="AA36" s="568"/>
      <c r="AB36" s="373" t="s">
        <v>361</v>
      </c>
      <c r="AC36" s="380"/>
      <c r="AD36" s="374">
        <v>4</v>
      </c>
      <c r="AE36" s="375" t="s">
        <v>21</v>
      </c>
      <c r="AF36" s="644"/>
      <c r="AG36" s="198"/>
      <c r="AH36" s="199"/>
      <c r="AI36" s="200"/>
      <c r="AJ36" s="197"/>
      <c r="AK36" s="91"/>
      <c r="AL36"/>
      <c r="AM36"/>
      <c r="AN36"/>
      <c r="AO36"/>
      <c r="AP36"/>
      <c r="AQ36"/>
      <c r="AR36"/>
      <c r="AS36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</row>
    <row r="37" spans="1:86" s="1" customFormat="1" ht="18" customHeight="1">
      <c r="A37" s="540"/>
      <c r="B37" s="644"/>
      <c r="C37" s="194"/>
      <c r="D37" s="195"/>
      <c r="E37" s="196"/>
      <c r="F37" s="197"/>
      <c r="G37" s="568"/>
      <c r="H37" s="97" t="s">
        <v>94</v>
      </c>
      <c r="I37" s="13"/>
      <c r="J37" s="254">
        <v>2</v>
      </c>
      <c r="K37" s="255" t="s">
        <v>0</v>
      </c>
      <c r="L37" s="568"/>
      <c r="M37" s="95" t="s">
        <v>124</v>
      </c>
      <c r="N37" s="13"/>
      <c r="O37" s="254">
        <f>ROUND(20*O$2/1000,0)</f>
        <v>34</v>
      </c>
      <c r="P37" s="255" t="s">
        <v>0</v>
      </c>
      <c r="Q37" s="568"/>
      <c r="R37" s="97" t="s">
        <v>103</v>
      </c>
      <c r="S37" s="13"/>
      <c r="T37" s="254">
        <f>ROUND(20*T$2/1000,0)</f>
        <v>35</v>
      </c>
      <c r="U37" s="255" t="s">
        <v>0</v>
      </c>
      <c r="V37" s="568"/>
      <c r="W37" s="97" t="s">
        <v>98</v>
      </c>
      <c r="X37" s="13"/>
      <c r="Y37" s="254">
        <v>2</v>
      </c>
      <c r="Z37" s="255" t="s">
        <v>0</v>
      </c>
      <c r="AA37" s="568"/>
      <c r="AB37" s="373" t="s">
        <v>98</v>
      </c>
      <c r="AC37" s="380"/>
      <c r="AD37" s="374">
        <v>3</v>
      </c>
      <c r="AE37" s="375" t="s">
        <v>0</v>
      </c>
      <c r="AF37" s="644"/>
      <c r="AG37" s="198"/>
      <c r="AH37" s="199"/>
      <c r="AI37" s="200"/>
      <c r="AJ37" s="197"/>
      <c r="AK37" s="91"/>
      <c r="AL37"/>
      <c r="AM37"/>
      <c r="AN37"/>
      <c r="AO37"/>
      <c r="AP37"/>
      <c r="AQ37"/>
      <c r="AR37"/>
      <c r="AS37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</row>
    <row r="38" spans="1:86" s="1" customFormat="1" ht="18" customHeight="1">
      <c r="A38" s="540"/>
      <c r="B38" s="644"/>
      <c r="C38" s="194"/>
      <c r="D38" s="195"/>
      <c r="E38" s="196"/>
      <c r="F38" s="197"/>
      <c r="G38" s="568"/>
      <c r="H38" s="97"/>
      <c r="I38" s="13"/>
      <c r="J38" s="254"/>
      <c r="K38" s="255" t="s">
        <v>0</v>
      </c>
      <c r="L38" s="568"/>
      <c r="M38" s="328" t="s">
        <v>239</v>
      </c>
      <c r="N38" s="113"/>
      <c r="O38" s="256">
        <v>1.8</v>
      </c>
      <c r="P38" s="255" t="s">
        <v>0</v>
      </c>
      <c r="Q38" s="568"/>
      <c r="R38" s="97" t="s">
        <v>142</v>
      </c>
      <c r="S38" s="13"/>
      <c r="T38" s="254">
        <f>ROUND(8*T$2/1000,0)</f>
        <v>14</v>
      </c>
      <c r="U38" s="255" t="s">
        <v>0</v>
      </c>
      <c r="V38" s="568"/>
      <c r="W38" s="319" t="s">
        <v>163</v>
      </c>
      <c r="X38" s="113"/>
      <c r="Y38" s="256">
        <v>2.4</v>
      </c>
      <c r="Z38" s="255" t="s">
        <v>0</v>
      </c>
      <c r="AA38" s="568"/>
      <c r="AB38" s="373" t="s">
        <v>304</v>
      </c>
      <c r="AC38" s="380"/>
      <c r="AD38" s="374">
        <v>3</v>
      </c>
      <c r="AE38" s="255" t="s">
        <v>0</v>
      </c>
      <c r="AF38" s="644"/>
      <c r="AG38" s="198"/>
      <c r="AH38" s="199"/>
      <c r="AI38" s="200"/>
      <c r="AJ38" s="197"/>
      <c r="AK38" s="91"/>
      <c r="AL38"/>
      <c r="AM38"/>
      <c r="AN38"/>
      <c r="AO38"/>
      <c r="AP38"/>
      <c r="AQ38"/>
      <c r="AR38"/>
      <c r="AS38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</row>
    <row r="39" spans="1:86" s="1" customFormat="1" ht="18" customHeight="1">
      <c r="A39" s="540"/>
      <c r="B39" s="644"/>
      <c r="C39" s="194"/>
      <c r="D39" s="195"/>
      <c r="E39" s="196"/>
      <c r="F39" s="197"/>
      <c r="G39" s="568"/>
      <c r="H39" s="97"/>
      <c r="I39" s="13"/>
      <c r="J39" s="254"/>
      <c r="K39" s="255" t="s">
        <v>0</v>
      </c>
      <c r="L39" s="568"/>
      <c r="M39" s="95"/>
      <c r="N39" s="13"/>
      <c r="O39" s="254"/>
      <c r="P39" s="255" t="s">
        <v>0</v>
      </c>
      <c r="Q39" s="568"/>
      <c r="R39" s="97" t="s">
        <v>240</v>
      </c>
      <c r="S39" s="13"/>
      <c r="T39" s="254">
        <v>3</v>
      </c>
      <c r="U39" s="263" t="s">
        <v>21</v>
      </c>
      <c r="V39" s="568"/>
      <c r="W39" s="319" t="s">
        <v>111</v>
      </c>
      <c r="X39" s="113"/>
      <c r="Y39" s="256">
        <f>ROUND(25*20/1000,1)</f>
        <v>0.5</v>
      </c>
      <c r="Z39" s="255" t="s">
        <v>0</v>
      </c>
      <c r="AA39" s="568"/>
      <c r="AB39" s="440" t="s">
        <v>363</v>
      </c>
      <c r="AC39" s="380"/>
      <c r="AD39" s="367">
        <v>0.3</v>
      </c>
      <c r="AE39" s="255" t="s">
        <v>0</v>
      </c>
      <c r="AF39" s="644"/>
      <c r="AG39" s="198"/>
      <c r="AH39" s="199"/>
      <c r="AI39" s="200"/>
      <c r="AJ39" s="197"/>
      <c r="AK39" s="91"/>
      <c r="AL39"/>
      <c r="AM39"/>
      <c r="AN39"/>
      <c r="AO39"/>
      <c r="AP39"/>
      <c r="AQ39"/>
      <c r="AR39"/>
      <c r="AS39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</row>
    <row r="40" spans="1:86" s="1" customFormat="1" ht="18" customHeight="1">
      <c r="A40" s="540"/>
      <c r="B40" s="644"/>
      <c r="C40" s="194"/>
      <c r="D40" s="195"/>
      <c r="E40" s="196"/>
      <c r="F40" s="197"/>
      <c r="G40" s="568"/>
      <c r="H40" s="97"/>
      <c r="I40" s="13"/>
      <c r="J40" s="254"/>
      <c r="K40" s="255" t="s">
        <v>0</v>
      </c>
      <c r="L40" s="568"/>
      <c r="M40" s="95"/>
      <c r="N40" s="13"/>
      <c r="O40" s="254"/>
      <c r="P40" s="255" t="s">
        <v>0</v>
      </c>
      <c r="Q40" s="568"/>
      <c r="R40" s="319" t="s">
        <v>158</v>
      </c>
      <c r="S40" s="113"/>
      <c r="T40" s="256">
        <v>1</v>
      </c>
      <c r="U40" s="255" t="s">
        <v>0</v>
      </c>
      <c r="V40" s="568"/>
      <c r="W40" s="97"/>
      <c r="X40" s="13"/>
      <c r="Y40" s="254"/>
      <c r="Z40" s="255" t="s">
        <v>0</v>
      </c>
      <c r="AA40" s="568"/>
      <c r="AB40" s="208"/>
      <c r="AC40" s="13"/>
      <c r="AD40" s="254"/>
      <c r="AE40" s="255" t="s">
        <v>0</v>
      </c>
      <c r="AF40" s="644"/>
      <c r="AG40" s="198"/>
      <c r="AH40" s="199"/>
      <c r="AI40" s="200"/>
      <c r="AJ40" s="197"/>
      <c r="AK40" s="91"/>
      <c r="AL40"/>
      <c r="AM40"/>
      <c r="AN40"/>
      <c r="AO40"/>
      <c r="AP40"/>
      <c r="AQ40"/>
      <c r="AR40"/>
      <c r="AS40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</row>
    <row r="41" spans="1:86" s="1" customFormat="1" ht="18" customHeight="1">
      <c r="A41" s="540"/>
      <c r="B41" s="644"/>
      <c r="C41" s="194"/>
      <c r="D41" s="195"/>
      <c r="E41" s="196"/>
      <c r="F41" s="197"/>
      <c r="G41" s="568"/>
      <c r="H41" s="97"/>
      <c r="I41" s="13"/>
      <c r="J41" s="254"/>
      <c r="K41" s="255" t="s">
        <v>0</v>
      </c>
      <c r="L41" s="568"/>
      <c r="M41" s="95"/>
      <c r="N41" s="13"/>
      <c r="O41" s="254"/>
      <c r="P41" s="255" t="s">
        <v>0</v>
      </c>
      <c r="Q41" s="640"/>
      <c r="R41" s="450" t="s">
        <v>162</v>
      </c>
      <c r="S41" s="13"/>
      <c r="T41" s="254">
        <v>1</v>
      </c>
      <c r="U41" s="451" t="s">
        <v>27</v>
      </c>
      <c r="V41" s="660"/>
      <c r="W41" s="97"/>
      <c r="X41" s="13"/>
      <c r="Y41" s="254"/>
      <c r="Z41" s="255" t="s">
        <v>0</v>
      </c>
      <c r="AA41" s="568"/>
      <c r="AB41" s="208"/>
      <c r="AC41" s="13"/>
      <c r="AD41" s="254"/>
      <c r="AE41" s="255" t="s">
        <v>0</v>
      </c>
      <c r="AF41" s="644"/>
      <c r="AG41" s="198"/>
      <c r="AH41" s="199"/>
      <c r="AI41" s="200"/>
      <c r="AJ41" s="197"/>
      <c r="AK41" s="91"/>
      <c r="AL41"/>
      <c r="AM41"/>
      <c r="AN41"/>
      <c r="AO41"/>
      <c r="AP41"/>
      <c r="AQ41"/>
      <c r="AR41"/>
      <c r="AS41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</row>
    <row r="42" spans="1:86" s="1" customFormat="1" ht="18" customHeight="1" thickBot="1">
      <c r="A42" s="540"/>
      <c r="B42" s="644"/>
      <c r="C42" s="194"/>
      <c r="D42" s="195"/>
      <c r="E42" s="196"/>
      <c r="F42" s="197"/>
      <c r="G42" s="568"/>
      <c r="H42" s="94"/>
      <c r="I42" s="14"/>
      <c r="J42" s="254"/>
      <c r="K42" s="257" t="s">
        <v>0</v>
      </c>
      <c r="L42" s="568"/>
      <c r="M42" s="96"/>
      <c r="N42" s="14"/>
      <c r="O42" s="254"/>
      <c r="P42" s="257" t="s">
        <v>0</v>
      </c>
      <c r="Q42" s="568"/>
      <c r="V42" s="568"/>
      <c r="W42" s="94"/>
      <c r="X42" s="14"/>
      <c r="Y42" s="254"/>
      <c r="Z42" s="257" t="s">
        <v>0</v>
      </c>
      <c r="AA42" s="568"/>
      <c r="AB42" s="208"/>
      <c r="AC42" s="13"/>
      <c r="AD42" s="254"/>
      <c r="AE42" s="255" t="s">
        <v>0</v>
      </c>
      <c r="AF42" s="644"/>
      <c r="AG42" s="198"/>
      <c r="AH42" s="199"/>
      <c r="AI42" s="200"/>
      <c r="AJ42" s="197"/>
      <c r="AK42" s="91"/>
      <c r="AL42"/>
      <c r="AM42"/>
      <c r="AN42"/>
      <c r="AO42"/>
      <c r="AP42"/>
      <c r="AQ42"/>
      <c r="AR42"/>
      <c r="AS42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</row>
    <row r="43" spans="1:86" s="1" customFormat="1" ht="18" hidden="1" customHeight="1" thickBot="1">
      <c r="A43" s="540"/>
      <c r="B43" s="644"/>
      <c r="C43" s="194"/>
      <c r="D43" s="195"/>
      <c r="E43" s="196"/>
      <c r="F43" s="197"/>
      <c r="G43" s="568"/>
      <c r="H43" s="95"/>
      <c r="I43" s="13"/>
      <c r="J43" s="254"/>
      <c r="K43" s="255"/>
      <c r="L43" s="568"/>
      <c r="M43" s="95"/>
      <c r="N43" s="13"/>
      <c r="O43" s="254"/>
      <c r="P43" s="255"/>
      <c r="Q43" s="568"/>
      <c r="R43" s="95"/>
      <c r="S43" s="13"/>
      <c r="T43" s="254"/>
      <c r="U43" s="255"/>
      <c r="V43" s="568"/>
      <c r="W43" s="95"/>
      <c r="X43" s="13"/>
      <c r="Y43" s="254"/>
      <c r="Z43" s="255"/>
      <c r="AA43" s="568"/>
      <c r="AB43" s="208"/>
      <c r="AC43" s="13"/>
      <c r="AD43" s="254"/>
      <c r="AE43" s="257" t="s">
        <v>0</v>
      </c>
      <c r="AF43" s="644"/>
      <c r="AG43" s="198"/>
      <c r="AH43" s="199"/>
      <c r="AI43" s="200"/>
      <c r="AJ43" s="197"/>
      <c r="AK43" s="91"/>
      <c r="AL43"/>
      <c r="AM43"/>
      <c r="AN43"/>
      <c r="AO43"/>
      <c r="AP43"/>
      <c r="AQ43"/>
      <c r="AR43"/>
      <c r="AS43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</row>
    <row r="44" spans="1:86" s="1" customFormat="1" ht="18" hidden="1" customHeight="1" thickBot="1">
      <c r="A44" s="540"/>
      <c r="B44" s="644"/>
      <c r="C44" s="194"/>
      <c r="D44" s="195"/>
      <c r="E44" s="196"/>
      <c r="F44" s="197"/>
      <c r="G44" s="568"/>
      <c r="H44" s="95"/>
      <c r="I44" s="13"/>
      <c r="J44" s="254"/>
      <c r="K44" s="255"/>
      <c r="L44" s="568"/>
      <c r="M44" s="95"/>
      <c r="N44" s="13"/>
      <c r="O44" s="254"/>
      <c r="P44" s="255"/>
      <c r="Q44" s="568"/>
      <c r="R44" s="95"/>
      <c r="S44" s="13"/>
      <c r="T44" s="254"/>
      <c r="U44" s="255"/>
      <c r="V44" s="568"/>
      <c r="W44" s="95"/>
      <c r="X44" s="13"/>
      <c r="Y44" s="254"/>
      <c r="Z44" s="255"/>
      <c r="AA44" s="568"/>
      <c r="AB44" s="208"/>
      <c r="AC44" s="13"/>
      <c r="AD44" s="254"/>
      <c r="AE44" s="255"/>
      <c r="AF44" s="644"/>
      <c r="AG44" s="198"/>
      <c r="AH44" s="199"/>
      <c r="AI44" s="200"/>
      <c r="AJ44" s="197"/>
      <c r="AK44" s="91"/>
      <c r="AL44"/>
      <c r="AM44"/>
      <c r="AN44"/>
      <c r="AO44"/>
      <c r="AP44"/>
      <c r="AQ44"/>
      <c r="AR44"/>
      <c r="AS4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</row>
    <row r="45" spans="1:86" s="1" customFormat="1" ht="18" hidden="1" customHeight="1">
      <c r="A45" s="540"/>
      <c r="B45" s="644"/>
      <c r="C45" s="194"/>
      <c r="D45" s="195"/>
      <c r="E45" s="196"/>
      <c r="F45" s="197"/>
      <c r="G45" s="568"/>
      <c r="H45" s="95"/>
      <c r="I45" s="13"/>
      <c r="J45" s="254"/>
      <c r="K45" s="255"/>
      <c r="L45" s="568"/>
      <c r="M45" s="95"/>
      <c r="N45" s="13"/>
      <c r="O45" s="254"/>
      <c r="P45" s="255"/>
      <c r="Q45" s="568"/>
      <c r="R45" s="95"/>
      <c r="S45" s="13"/>
      <c r="T45" s="254"/>
      <c r="U45" s="255"/>
      <c r="V45" s="568"/>
      <c r="W45" s="95"/>
      <c r="X45" s="13"/>
      <c r="Y45" s="254"/>
      <c r="Z45" s="255"/>
      <c r="AA45" s="568"/>
      <c r="AB45" s="208"/>
      <c r="AC45" s="13"/>
      <c r="AD45" s="254"/>
      <c r="AE45" s="255"/>
      <c r="AF45" s="644"/>
      <c r="AG45" s="198"/>
      <c r="AH45" s="199"/>
      <c r="AI45" s="200"/>
      <c r="AJ45" s="197"/>
      <c r="AK45" s="91"/>
      <c r="AL45"/>
      <c r="AM45"/>
      <c r="AN45"/>
      <c r="AO45"/>
      <c r="AP45"/>
      <c r="AQ45"/>
      <c r="AR45"/>
      <c r="AS45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</row>
    <row r="46" spans="1:86" s="1" customFormat="1" ht="18" hidden="1" customHeight="1">
      <c r="A46" s="540"/>
      <c r="B46" s="644"/>
      <c r="C46" s="194"/>
      <c r="D46" s="195"/>
      <c r="E46" s="196"/>
      <c r="F46" s="197"/>
      <c r="G46" s="568"/>
      <c r="H46" s="95"/>
      <c r="I46" s="13"/>
      <c r="J46" s="254"/>
      <c r="K46" s="255"/>
      <c r="L46" s="568"/>
      <c r="M46" s="95"/>
      <c r="N46" s="13"/>
      <c r="O46" s="254"/>
      <c r="P46" s="255"/>
      <c r="Q46" s="568"/>
      <c r="R46" s="95"/>
      <c r="S46" s="13"/>
      <c r="T46" s="254"/>
      <c r="U46" s="255"/>
      <c r="V46" s="568"/>
      <c r="W46" s="95"/>
      <c r="X46" s="13"/>
      <c r="Y46" s="254"/>
      <c r="Z46" s="255"/>
      <c r="AA46" s="568"/>
      <c r="AB46" s="208"/>
      <c r="AC46" s="13"/>
      <c r="AD46" s="254"/>
      <c r="AE46" s="255"/>
      <c r="AF46" s="644"/>
      <c r="AG46" s="198"/>
      <c r="AH46" s="199"/>
      <c r="AI46" s="200"/>
      <c r="AJ46" s="197"/>
      <c r="AK46" s="91"/>
      <c r="AL46"/>
      <c r="AM46"/>
      <c r="AN46"/>
      <c r="AO46"/>
      <c r="AP46"/>
      <c r="AQ46"/>
      <c r="AR46"/>
      <c r="AS46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</row>
    <row r="47" spans="1:86" s="1" customFormat="1" ht="18" hidden="1" customHeight="1">
      <c r="A47" s="540"/>
      <c r="B47" s="644"/>
      <c r="C47" s="194"/>
      <c r="D47" s="195"/>
      <c r="E47" s="196"/>
      <c r="F47" s="197"/>
      <c r="G47" s="568"/>
      <c r="H47" s="95"/>
      <c r="I47" s="13"/>
      <c r="J47" s="254"/>
      <c r="K47" s="255"/>
      <c r="L47" s="568"/>
      <c r="M47" s="95"/>
      <c r="N47" s="13"/>
      <c r="O47" s="254"/>
      <c r="P47" s="255"/>
      <c r="Q47" s="568"/>
      <c r="R47" s="95"/>
      <c r="S47" s="13"/>
      <c r="T47" s="254"/>
      <c r="U47" s="255"/>
      <c r="V47" s="568"/>
      <c r="W47" s="95"/>
      <c r="X47" s="13"/>
      <c r="Y47" s="254"/>
      <c r="Z47" s="255"/>
      <c r="AA47" s="568"/>
      <c r="AB47" s="208"/>
      <c r="AC47" s="13"/>
      <c r="AD47" s="254"/>
      <c r="AE47" s="255"/>
      <c r="AF47" s="644"/>
      <c r="AG47" s="198"/>
      <c r="AH47" s="199"/>
      <c r="AI47" s="200"/>
      <c r="AJ47" s="197"/>
      <c r="AK47" s="91"/>
      <c r="AL47"/>
      <c r="AM47"/>
      <c r="AN47"/>
      <c r="AO47"/>
      <c r="AP47"/>
      <c r="AQ47"/>
      <c r="AR47"/>
      <c r="AS47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</row>
    <row r="48" spans="1:86" s="1" customFormat="1" ht="18" hidden="1" customHeight="1">
      <c r="A48" s="541"/>
      <c r="B48" s="645"/>
      <c r="C48" s="201"/>
      <c r="D48" s="202"/>
      <c r="E48" s="203"/>
      <c r="F48" s="204"/>
      <c r="G48" s="569"/>
      <c r="H48" s="95"/>
      <c r="I48" s="13"/>
      <c r="J48" s="254"/>
      <c r="K48" s="257"/>
      <c r="L48" s="569"/>
      <c r="M48" s="95"/>
      <c r="N48" s="13"/>
      <c r="O48" s="254"/>
      <c r="P48" s="257"/>
      <c r="Q48" s="569"/>
      <c r="R48" s="95"/>
      <c r="S48" s="13"/>
      <c r="T48" s="254"/>
      <c r="U48" s="257"/>
      <c r="V48" s="569"/>
      <c r="W48" s="95"/>
      <c r="X48" s="13"/>
      <c r="Y48" s="254"/>
      <c r="Z48" s="257"/>
      <c r="AA48" s="569"/>
      <c r="AB48" s="323"/>
      <c r="AC48" s="14"/>
      <c r="AD48" s="261"/>
      <c r="AE48" s="257"/>
      <c r="AF48" s="645"/>
      <c r="AG48" s="205"/>
      <c r="AH48" s="206"/>
      <c r="AI48" s="207"/>
      <c r="AJ48" s="204"/>
      <c r="AK48" s="91"/>
      <c r="AL48"/>
      <c r="AM48"/>
      <c r="AN48"/>
      <c r="AO48"/>
      <c r="AP48"/>
      <c r="AQ48"/>
      <c r="AR48"/>
      <c r="AS48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</row>
    <row r="49" spans="1:86" s="1" customFormat="1" ht="18" customHeight="1">
      <c r="A49" s="539" t="s">
        <v>49</v>
      </c>
      <c r="B49" s="643"/>
      <c r="C49" s="187"/>
      <c r="D49" s="188"/>
      <c r="E49" s="189"/>
      <c r="F49" s="190"/>
      <c r="G49" s="561"/>
      <c r="H49" s="93"/>
      <c r="I49" s="9"/>
      <c r="J49" s="253"/>
      <c r="K49" s="267"/>
      <c r="L49" s="561"/>
      <c r="M49" s="635" t="s">
        <v>398</v>
      </c>
      <c r="N49" s="581"/>
      <c r="O49" s="581"/>
      <c r="P49" s="582"/>
      <c r="Q49" s="567" t="s">
        <v>264</v>
      </c>
      <c r="R49" s="99" t="s">
        <v>265</v>
      </c>
      <c r="S49" s="9"/>
      <c r="T49" s="253">
        <f>T2*1.03</f>
        <v>1797.3500000000001</v>
      </c>
      <c r="U49" s="331" t="s">
        <v>123</v>
      </c>
      <c r="V49" s="567"/>
      <c r="W49" s="99"/>
      <c r="X49" s="9"/>
      <c r="Y49" s="253"/>
      <c r="Z49" s="331"/>
      <c r="AA49" s="561"/>
      <c r="AB49" s="99"/>
      <c r="AC49" s="9"/>
      <c r="AD49" s="253"/>
      <c r="AE49" s="267"/>
      <c r="AF49" s="643"/>
      <c r="AG49" s="191"/>
      <c r="AH49" s="192"/>
      <c r="AI49" s="193"/>
      <c r="AJ49" s="190"/>
      <c r="AK49" s="91"/>
      <c r="AL49"/>
      <c r="AM49"/>
      <c r="AN49"/>
      <c r="AO49"/>
      <c r="AP49"/>
      <c r="AQ49"/>
      <c r="AR49"/>
      <c r="AS49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</row>
    <row r="50" spans="1:86" s="1" customFormat="1" ht="18" customHeight="1">
      <c r="A50" s="540"/>
      <c r="B50" s="644"/>
      <c r="C50" s="194"/>
      <c r="D50" s="195"/>
      <c r="E50" s="196"/>
      <c r="F50" s="197"/>
      <c r="G50" s="562"/>
      <c r="H50" s="97"/>
      <c r="I50" s="13"/>
      <c r="J50" s="254"/>
      <c r="K50" s="255"/>
      <c r="L50" s="562"/>
      <c r="M50" s="583"/>
      <c r="N50" s="584"/>
      <c r="O50" s="584"/>
      <c r="P50" s="585"/>
      <c r="Q50" s="568"/>
      <c r="R50" s="328" t="s">
        <v>266</v>
      </c>
      <c r="S50" s="113"/>
      <c r="T50" s="256">
        <v>35</v>
      </c>
      <c r="U50" s="263" t="s">
        <v>123</v>
      </c>
      <c r="V50" s="568"/>
      <c r="W50" s="95"/>
      <c r="X50" s="13"/>
      <c r="Y50" s="254"/>
      <c r="Z50" s="263"/>
      <c r="AA50" s="562"/>
      <c r="AB50" s="95"/>
      <c r="AC50" s="13"/>
      <c r="AD50" s="254"/>
      <c r="AE50" s="255"/>
      <c r="AF50" s="644"/>
      <c r="AG50" s="198"/>
      <c r="AH50" s="199"/>
      <c r="AI50" s="200"/>
      <c r="AJ50" s="197"/>
      <c r="AK50" s="91"/>
      <c r="AL50"/>
      <c r="AM50"/>
      <c r="AN50"/>
      <c r="AO50"/>
      <c r="AP50"/>
      <c r="AQ50"/>
      <c r="AR50"/>
      <c r="AS50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</row>
    <row r="51" spans="1:86" s="1" customFormat="1" ht="18" customHeight="1">
      <c r="A51" s="540"/>
      <c r="B51" s="644"/>
      <c r="C51" s="194"/>
      <c r="D51" s="195"/>
      <c r="E51" s="196"/>
      <c r="F51" s="197"/>
      <c r="G51" s="562"/>
      <c r="H51" s="97"/>
      <c r="I51" s="13"/>
      <c r="J51" s="254"/>
      <c r="K51" s="255"/>
      <c r="L51" s="562"/>
      <c r="M51" s="583"/>
      <c r="N51" s="584"/>
      <c r="O51" s="584"/>
      <c r="P51" s="585"/>
      <c r="Q51" s="568"/>
      <c r="R51" s="373" t="s">
        <v>361</v>
      </c>
      <c r="S51" s="380"/>
      <c r="T51" s="374">
        <v>4</v>
      </c>
      <c r="U51" s="375" t="s">
        <v>21</v>
      </c>
      <c r="V51" s="568"/>
      <c r="W51" s="95"/>
      <c r="X51" s="13"/>
      <c r="Y51" s="254"/>
      <c r="Z51" s="255"/>
      <c r="AA51" s="562"/>
      <c r="AB51" s="95"/>
      <c r="AC51" s="13"/>
      <c r="AD51" s="254"/>
      <c r="AE51" s="255"/>
      <c r="AF51" s="644"/>
      <c r="AG51" s="198"/>
      <c r="AH51" s="199"/>
      <c r="AI51" s="200"/>
      <c r="AJ51" s="197"/>
      <c r="AK51" s="91"/>
      <c r="AL51"/>
      <c r="AM51"/>
      <c r="AN51"/>
      <c r="AO51"/>
      <c r="AP51"/>
      <c r="AQ51"/>
      <c r="AR51"/>
      <c r="AS51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</row>
    <row r="52" spans="1:86" s="1" customFormat="1" ht="18" customHeight="1">
      <c r="A52" s="540"/>
      <c r="B52" s="644"/>
      <c r="C52" s="194"/>
      <c r="D52" s="195"/>
      <c r="E52" s="196"/>
      <c r="F52" s="197"/>
      <c r="G52" s="562"/>
      <c r="H52" s="97"/>
      <c r="I52" s="13"/>
      <c r="J52" s="254"/>
      <c r="K52" s="255"/>
      <c r="L52" s="562"/>
      <c r="M52" s="583"/>
      <c r="N52" s="584"/>
      <c r="O52" s="584"/>
      <c r="P52" s="585"/>
      <c r="Q52" s="568"/>
      <c r="R52" s="440" t="s">
        <v>363</v>
      </c>
      <c r="S52" s="380" t="s">
        <v>406</v>
      </c>
      <c r="T52" s="367">
        <v>1</v>
      </c>
      <c r="U52" s="375" t="s">
        <v>21</v>
      </c>
      <c r="V52" s="568"/>
      <c r="W52" s="95"/>
      <c r="X52" s="13"/>
      <c r="Y52" s="254"/>
      <c r="Z52" s="255"/>
      <c r="AA52" s="562"/>
      <c r="AB52" s="95"/>
      <c r="AC52" s="13"/>
      <c r="AD52" s="254"/>
      <c r="AE52" s="255"/>
      <c r="AF52" s="644"/>
      <c r="AG52" s="198"/>
      <c r="AH52" s="199"/>
      <c r="AI52" s="200"/>
      <c r="AJ52" s="197"/>
      <c r="AK52" s="91"/>
      <c r="AL52"/>
      <c r="AM52"/>
      <c r="AN52"/>
      <c r="AO52"/>
      <c r="AP52"/>
      <c r="AQ52"/>
      <c r="AR52"/>
      <c r="AS52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</row>
    <row r="53" spans="1:86" s="1" customFormat="1" ht="18" customHeight="1">
      <c r="A53" s="540"/>
      <c r="B53" s="644"/>
      <c r="C53" s="194"/>
      <c r="D53" s="195"/>
      <c r="E53" s="196"/>
      <c r="F53" s="197"/>
      <c r="G53" s="562"/>
      <c r="H53" s="97"/>
      <c r="I53" s="13"/>
      <c r="J53" s="254"/>
      <c r="K53" s="255"/>
      <c r="L53" s="562"/>
      <c r="M53" s="95"/>
      <c r="N53" s="13"/>
      <c r="O53" s="254"/>
      <c r="P53" s="255"/>
      <c r="Q53" s="568"/>
      <c r="R53" s="373" t="s">
        <v>98</v>
      </c>
      <c r="S53" s="380"/>
      <c r="T53" s="374">
        <v>3</v>
      </c>
      <c r="U53" s="375" t="s">
        <v>0</v>
      </c>
      <c r="V53" s="568"/>
      <c r="W53" s="95"/>
      <c r="X53" s="13"/>
      <c r="Y53" s="254"/>
      <c r="Z53" s="255"/>
      <c r="AA53" s="562"/>
      <c r="AB53" s="95"/>
      <c r="AC53" s="13"/>
      <c r="AD53" s="254"/>
      <c r="AE53" s="255"/>
      <c r="AF53" s="644"/>
      <c r="AG53" s="198"/>
      <c r="AH53" s="199"/>
      <c r="AI53" s="200"/>
      <c r="AJ53" s="197"/>
      <c r="AK53" s="91"/>
      <c r="AL53"/>
      <c r="AM53"/>
      <c r="AN53"/>
      <c r="AO53"/>
      <c r="AP53"/>
      <c r="AQ53"/>
      <c r="AR53"/>
      <c r="AS53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</row>
    <row r="54" spans="1:86" s="1" customFormat="1" ht="18" customHeight="1" thickBot="1">
      <c r="A54" s="540"/>
      <c r="B54" s="644"/>
      <c r="C54" s="194"/>
      <c r="D54" s="195"/>
      <c r="E54" s="196"/>
      <c r="F54" s="197"/>
      <c r="G54" s="562"/>
      <c r="H54" s="97"/>
      <c r="I54" s="13"/>
      <c r="J54" s="254"/>
      <c r="K54" s="255"/>
      <c r="L54" s="562"/>
      <c r="M54" s="95"/>
      <c r="N54" s="13"/>
      <c r="O54" s="254"/>
      <c r="P54" s="255"/>
      <c r="Q54" s="568"/>
      <c r="R54" s="373" t="s">
        <v>304</v>
      </c>
      <c r="S54" s="380"/>
      <c r="T54" s="374">
        <v>3</v>
      </c>
      <c r="U54" s="255" t="s">
        <v>0</v>
      </c>
      <c r="V54" s="568"/>
      <c r="W54" s="95"/>
      <c r="X54" s="13"/>
      <c r="Y54" s="254"/>
      <c r="Z54" s="255"/>
      <c r="AA54" s="562"/>
      <c r="AB54" s="95"/>
      <c r="AC54" s="13"/>
      <c r="AD54" s="254"/>
      <c r="AE54" s="255"/>
      <c r="AF54" s="644"/>
      <c r="AG54" s="198"/>
      <c r="AH54" s="199"/>
      <c r="AI54" s="200"/>
      <c r="AJ54" s="197"/>
      <c r="AK54" s="91"/>
      <c r="AL54"/>
      <c r="AM54"/>
      <c r="AN54"/>
      <c r="AO54"/>
      <c r="AP54"/>
      <c r="AQ54"/>
      <c r="AR54"/>
      <c r="AS5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</row>
    <row r="55" spans="1:86" s="1" customFormat="1" ht="18" hidden="1" customHeight="1" thickBot="1">
      <c r="A55" s="540"/>
      <c r="B55" s="644"/>
      <c r="C55" s="194"/>
      <c r="D55" s="195"/>
      <c r="E55" s="196"/>
      <c r="F55" s="197"/>
      <c r="G55" s="562"/>
      <c r="H55" s="97"/>
      <c r="I55" s="13"/>
      <c r="J55" s="254"/>
      <c r="K55" s="255"/>
      <c r="L55" s="562"/>
      <c r="M55" s="95"/>
      <c r="N55" s="13"/>
      <c r="O55" s="254"/>
      <c r="P55" s="255"/>
      <c r="Q55" s="568"/>
      <c r="R55" s="440"/>
      <c r="S55" s="380"/>
      <c r="T55" s="367"/>
      <c r="U55" s="375"/>
      <c r="V55" s="568"/>
      <c r="W55" s="95"/>
      <c r="X55" s="13"/>
      <c r="Y55" s="254"/>
      <c r="Z55" s="255"/>
      <c r="AA55" s="562"/>
      <c r="AB55" s="95"/>
      <c r="AC55" s="13"/>
      <c r="AD55" s="254"/>
      <c r="AE55" s="255"/>
      <c r="AF55" s="644"/>
      <c r="AG55" s="198"/>
      <c r="AH55" s="199"/>
      <c r="AI55" s="200"/>
      <c r="AJ55" s="197"/>
      <c r="AK55" s="91"/>
      <c r="AL55"/>
      <c r="AM55"/>
      <c r="AN55"/>
      <c r="AO55"/>
      <c r="AP55"/>
      <c r="AQ55"/>
      <c r="AR55"/>
      <c r="AS55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</row>
    <row r="56" spans="1:86" s="1" customFormat="1" ht="18" hidden="1" customHeight="1">
      <c r="A56" s="540"/>
      <c r="B56" s="644"/>
      <c r="C56" s="194"/>
      <c r="D56" s="195"/>
      <c r="E56" s="196"/>
      <c r="F56" s="197"/>
      <c r="G56" s="562"/>
      <c r="H56" s="97"/>
      <c r="I56" s="13"/>
      <c r="J56" s="254"/>
      <c r="K56" s="255"/>
      <c r="L56" s="562"/>
      <c r="M56" s="95"/>
      <c r="N56" s="13"/>
      <c r="O56" s="254"/>
      <c r="P56" s="255"/>
      <c r="Q56" s="568"/>
      <c r="R56" s="95"/>
      <c r="S56" s="13"/>
      <c r="T56" s="254"/>
      <c r="U56" s="255"/>
      <c r="V56" s="568"/>
      <c r="W56" s="95"/>
      <c r="X56" s="13"/>
      <c r="Y56" s="254"/>
      <c r="Z56" s="255"/>
      <c r="AA56" s="562"/>
      <c r="AB56" s="95"/>
      <c r="AC56" s="13"/>
      <c r="AD56" s="254"/>
      <c r="AE56" s="255"/>
      <c r="AF56" s="644"/>
      <c r="AG56" s="198"/>
      <c r="AH56" s="199"/>
      <c r="AI56" s="200"/>
      <c r="AJ56" s="197"/>
      <c r="AK56" s="91"/>
      <c r="AL56"/>
      <c r="AM56"/>
      <c r="AN56"/>
      <c r="AO56"/>
      <c r="AP56"/>
      <c r="AQ56"/>
      <c r="AR56"/>
      <c r="AS56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</row>
    <row r="57" spans="1:86" s="1" customFormat="1" ht="18" hidden="1" customHeight="1">
      <c r="A57" s="540"/>
      <c r="B57" s="644"/>
      <c r="C57" s="194"/>
      <c r="D57" s="195"/>
      <c r="E57" s="196"/>
      <c r="F57" s="197"/>
      <c r="G57" s="562"/>
      <c r="H57" s="97"/>
      <c r="I57" s="13"/>
      <c r="J57" s="254"/>
      <c r="K57" s="255"/>
      <c r="L57" s="562"/>
      <c r="M57" s="95"/>
      <c r="N57" s="13"/>
      <c r="O57" s="254"/>
      <c r="P57" s="255"/>
      <c r="Q57" s="568"/>
      <c r="R57" s="95"/>
      <c r="S57" s="13"/>
      <c r="T57" s="254"/>
      <c r="U57" s="255"/>
      <c r="V57" s="568"/>
      <c r="W57" s="95"/>
      <c r="X57" s="13"/>
      <c r="Y57" s="254"/>
      <c r="Z57" s="255"/>
      <c r="AA57" s="562"/>
      <c r="AB57" s="95"/>
      <c r="AC57" s="13"/>
      <c r="AD57" s="254"/>
      <c r="AE57" s="255"/>
      <c r="AF57" s="644"/>
      <c r="AG57" s="198"/>
      <c r="AH57" s="199"/>
      <c r="AI57" s="200"/>
      <c r="AJ57" s="197"/>
      <c r="AK57" s="91"/>
      <c r="AL57"/>
      <c r="AM57"/>
      <c r="AN57"/>
      <c r="AO57"/>
      <c r="AP57"/>
      <c r="AQ57"/>
      <c r="AR57"/>
      <c r="AS57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</row>
    <row r="58" spans="1:86" s="1" customFormat="1" ht="18" hidden="1" customHeight="1">
      <c r="A58" s="540"/>
      <c r="B58" s="644"/>
      <c r="C58" s="194"/>
      <c r="D58" s="195"/>
      <c r="E58" s="196"/>
      <c r="F58" s="197"/>
      <c r="G58" s="562"/>
      <c r="H58" s="97"/>
      <c r="I58" s="13"/>
      <c r="J58" s="254"/>
      <c r="K58" s="255"/>
      <c r="L58" s="562"/>
      <c r="M58" s="95"/>
      <c r="N58" s="13"/>
      <c r="O58" s="254"/>
      <c r="P58" s="255"/>
      <c r="Q58" s="568"/>
      <c r="R58" s="95"/>
      <c r="S58" s="13"/>
      <c r="T58" s="254"/>
      <c r="U58" s="255"/>
      <c r="V58" s="568"/>
      <c r="W58" s="95"/>
      <c r="X58" s="13"/>
      <c r="Y58" s="254"/>
      <c r="Z58" s="255"/>
      <c r="AA58" s="562"/>
      <c r="AB58" s="95"/>
      <c r="AC58" s="13"/>
      <c r="AD58" s="254"/>
      <c r="AE58" s="255"/>
      <c r="AF58" s="644"/>
      <c r="AG58" s="198"/>
      <c r="AH58" s="199"/>
      <c r="AI58" s="200"/>
      <c r="AJ58" s="197"/>
      <c r="AK58" s="91"/>
      <c r="AL58"/>
      <c r="AM58"/>
      <c r="AN58"/>
      <c r="AO58"/>
      <c r="AP58"/>
      <c r="AQ58"/>
      <c r="AR58"/>
      <c r="AS58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</row>
    <row r="59" spans="1:86" s="1" customFormat="1" ht="18" hidden="1" customHeight="1">
      <c r="A59" s="540"/>
      <c r="B59" s="644"/>
      <c r="C59" s="194"/>
      <c r="D59" s="195"/>
      <c r="E59" s="196"/>
      <c r="F59" s="197"/>
      <c r="G59" s="562"/>
      <c r="H59" s="97"/>
      <c r="I59" s="13"/>
      <c r="J59" s="254"/>
      <c r="K59" s="255"/>
      <c r="L59" s="562"/>
      <c r="M59" s="95"/>
      <c r="N59" s="13"/>
      <c r="O59" s="254"/>
      <c r="P59" s="255"/>
      <c r="Q59" s="568"/>
      <c r="R59" s="95"/>
      <c r="S59" s="13"/>
      <c r="T59" s="254"/>
      <c r="U59" s="255"/>
      <c r="V59" s="568"/>
      <c r="W59" s="95"/>
      <c r="X59" s="13"/>
      <c r="Y59" s="254"/>
      <c r="Z59" s="255"/>
      <c r="AA59" s="562"/>
      <c r="AB59" s="95"/>
      <c r="AC59" s="13"/>
      <c r="AD59" s="254"/>
      <c r="AE59" s="255"/>
      <c r="AF59" s="644"/>
      <c r="AG59" s="198"/>
      <c r="AH59" s="199"/>
      <c r="AI59" s="200"/>
      <c r="AJ59" s="197"/>
      <c r="AK59" s="91"/>
      <c r="AL59"/>
      <c r="AM59"/>
      <c r="AN59"/>
      <c r="AO59"/>
      <c r="AP59"/>
      <c r="AQ59"/>
      <c r="AR59"/>
      <c r="AS59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</row>
    <row r="60" spans="1:86" s="1" customFormat="1" ht="18" hidden="1" customHeight="1">
      <c r="A60" s="540"/>
      <c r="B60" s="644"/>
      <c r="C60" s="194"/>
      <c r="D60" s="195"/>
      <c r="E60" s="196"/>
      <c r="F60" s="197"/>
      <c r="G60" s="562"/>
      <c r="H60" s="97"/>
      <c r="I60" s="13"/>
      <c r="J60" s="254"/>
      <c r="K60" s="255"/>
      <c r="L60" s="562"/>
      <c r="M60" s="95"/>
      <c r="N60" s="13"/>
      <c r="O60" s="254"/>
      <c r="P60" s="255"/>
      <c r="Q60" s="568"/>
      <c r="R60" s="95"/>
      <c r="S60" s="13"/>
      <c r="T60" s="254"/>
      <c r="U60" s="255"/>
      <c r="V60" s="568"/>
      <c r="W60" s="95"/>
      <c r="X60" s="13"/>
      <c r="Y60" s="254"/>
      <c r="Z60" s="255"/>
      <c r="AA60" s="562"/>
      <c r="AB60" s="95"/>
      <c r="AC60" s="13"/>
      <c r="AD60" s="254"/>
      <c r="AE60" s="255"/>
      <c r="AF60" s="644"/>
      <c r="AG60" s="198"/>
      <c r="AH60" s="199"/>
      <c r="AI60" s="200"/>
      <c r="AJ60" s="197"/>
      <c r="AK60" s="91"/>
      <c r="AL60"/>
      <c r="AM60"/>
      <c r="AN60"/>
      <c r="AO60"/>
      <c r="AP60"/>
      <c r="AQ60"/>
      <c r="AR60"/>
      <c r="AS60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</row>
    <row r="61" spans="1:86" s="1" customFormat="1" ht="18" hidden="1" customHeight="1">
      <c r="A61" s="540"/>
      <c r="B61" s="644"/>
      <c r="C61" s="194"/>
      <c r="D61" s="195"/>
      <c r="E61" s="196"/>
      <c r="F61" s="197"/>
      <c r="G61" s="562"/>
      <c r="H61" s="97"/>
      <c r="I61" s="13"/>
      <c r="J61" s="254"/>
      <c r="K61" s="255"/>
      <c r="L61" s="562"/>
      <c r="M61" s="95"/>
      <c r="N61" s="13"/>
      <c r="O61" s="254"/>
      <c r="P61" s="255"/>
      <c r="Q61" s="568"/>
      <c r="R61" s="95"/>
      <c r="S61" s="13"/>
      <c r="T61" s="254"/>
      <c r="U61" s="255"/>
      <c r="V61" s="568"/>
      <c r="W61" s="95"/>
      <c r="X61" s="13"/>
      <c r="Y61" s="254"/>
      <c r="Z61" s="255"/>
      <c r="AA61" s="562"/>
      <c r="AB61" s="95"/>
      <c r="AC61" s="13"/>
      <c r="AD61" s="254"/>
      <c r="AE61" s="255"/>
      <c r="AF61" s="644"/>
      <c r="AG61" s="198"/>
      <c r="AH61" s="199"/>
      <c r="AI61" s="200"/>
      <c r="AJ61" s="197"/>
      <c r="AK61" s="91"/>
      <c r="AL61"/>
      <c r="AM61"/>
      <c r="AN61"/>
      <c r="AO61"/>
      <c r="AP61"/>
      <c r="AQ61"/>
      <c r="AR61"/>
      <c r="AS61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</row>
    <row r="62" spans="1:86" s="1" customFormat="1" ht="18" hidden="1" customHeight="1">
      <c r="A62" s="540"/>
      <c r="B62" s="644"/>
      <c r="C62" s="194"/>
      <c r="D62" s="195"/>
      <c r="E62" s="196"/>
      <c r="F62" s="197"/>
      <c r="G62" s="562"/>
      <c r="H62" s="97"/>
      <c r="I62" s="13"/>
      <c r="J62" s="254"/>
      <c r="K62" s="255"/>
      <c r="L62" s="562"/>
      <c r="M62" s="95"/>
      <c r="N62" s="13"/>
      <c r="O62" s="254"/>
      <c r="P62" s="255"/>
      <c r="Q62" s="568"/>
      <c r="R62" s="95"/>
      <c r="S62" s="13"/>
      <c r="T62" s="254"/>
      <c r="U62" s="255"/>
      <c r="V62" s="568"/>
      <c r="W62" s="95"/>
      <c r="X62" s="13"/>
      <c r="Y62" s="254"/>
      <c r="Z62" s="255"/>
      <c r="AA62" s="562"/>
      <c r="AB62" s="95"/>
      <c r="AC62" s="13"/>
      <c r="AD62" s="254"/>
      <c r="AE62" s="255"/>
      <c r="AF62" s="644"/>
      <c r="AG62" s="198"/>
      <c r="AH62" s="199"/>
      <c r="AI62" s="200"/>
      <c r="AJ62" s="197"/>
      <c r="AK62" s="91"/>
      <c r="AL62"/>
      <c r="AM62"/>
      <c r="AN62"/>
      <c r="AO62"/>
      <c r="AP62"/>
      <c r="AQ62"/>
      <c r="AR62"/>
      <c r="AS62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</row>
    <row r="63" spans="1:86" s="1" customFormat="1" ht="18" hidden="1" customHeight="1">
      <c r="A63" s="540"/>
      <c r="B63" s="644"/>
      <c r="C63" s="194"/>
      <c r="D63" s="195"/>
      <c r="E63" s="196"/>
      <c r="F63" s="197"/>
      <c r="G63" s="562"/>
      <c r="H63" s="97"/>
      <c r="I63" s="13"/>
      <c r="J63" s="254"/>
      <c r="K63" s="255"/>
      <c r="L63" s="562"/>
      <c r="M63" s="95"/>
      <c r="N63" s="13"/>
      <c r="O63" s="254"/>
      <c r="P63" s="255"/>
      <c r="Q63" s="568"/>
      <c r="R63" s="95"/>
      <c r="S63" s="13"/>
      <c r="T63" s="254"/>
      <c r="U63" s="255"/>
      <c r="V63" s="568"/>
      <c r="W63" s="95"/>
      <c r="X63" s="13"/>
      <c r="Y63" s="254"/>
      <c r="Z63" s="255"/>
      <c r="AA63" s="562"/>
      <c r="AB63" s="95"/>
      <c r="AC63" s="13"/>
      <c r="AD63" s="254"/>
      <c r="AE63" s="255"/>
      <c r="AF63" s="644"/>
      <c r="AG63" s="198"/>
      <c r="AH63" s="199"/>
      <c r="AI63" s="200"/>
      <c r="AJ63" s="197"/>
      <c r="AK63" s="91"/>
      <c r="AL63"/>
      <c r="AM63"/>
      <c r="AN63"/>
      <c r="AO63"/>
      <c r="AP63"/>
      <c r="AQ63"/>
      <c r="AR63"/>
      <c r="AS63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</row>
    <row r="64" spans="1:86" s="1" customFormat="1" ht="18" hidden="1" customHeight="1" thickBot="1">
      <c r="A64" s="541"/>
      <c r="B64" s="645"/>
      <c r="C64" s="201"/>
      <c r="D64" s="202"/>
      <c r="E64" s="203"/>
      <c r="F64" s="204"/>
      <c r="G64" s="563"/>
      <c r="H64" s="94"/>
      <c r="I64" s="14"/>
      <c r="J64" s="261"/>
      <c r="K64" s="257"/>
      <c r="L64" s="563"/>
      <c r="M64" s="96"/>
      <c r="N64" s="14"/>
      <c r="O64" s="261"/>
      <c r="P64" s="257"/>
      <c r="Q64" s="569"/>
      <c r="R64" s="96"/>
      <c r="S64" s="14"/>
      <c r="T64" s="261"/>
      <c r="U64" s="257"/>
      <c r="V64" s="569"/>
      <c r="W64" s="96"/>
      <c r="X64" s="14"/>
      <c r="Y64" s="261"/>
      <c r="Z64" s="257"/>
      <c r="AA64" s="563"/>
      <c r="AB64" s="96"/>
      <c r="AC64" s="14"/>
      <c r="AD64" s="261"/>
      <c r="AE64" s="257"/>
      <c r="AF64" s="645"/>
      <c r="AG64" s="205"/>
      <c r="AH64" s="206"/>
      <c r="AI64" s="207"/>
      <c r="AJ64" s="204"/>
      <c r="AK64" s="91"/>
      <c r="AL64"/>
      <c r="AM64"/>
      <c r="AN64"/>
      <c r="AO64"/>
      <c r="AP64"/>
      <c r="AQ64"/>
      <c r="AR64"/>
      <c r="AS6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</row>
    <row r="65" spans="1:86" s="1" customFormat="1" ht="18" hidden="1" customHeight="1">
      <c r="A65" s="539" t="s">
        <v>50</v>
      </c>
      <c r="B65" s="643"/>
      <c r="C65" s="187"/>
      <c r="D65" s="188"/>
      <c r="E65" s="189"/>
      <c r="F65" s="190"/>
      <c r="G65" s="586"/>
      <c r="H65" s="95"/>
      <c r="I65" s="13"/>
      <c r="J65" s="254"/>
      <c r="K65" s="255"/>
      <c r="L65" s="562"/>
      <c r="M65" s="95"/>
      <c r="N65" s="13"/>
      <c r="O65" s="254"/>
      <c r="P65" s="255"/>
      <c r="Q65" s="562"/>
      <c r="R65" s="95"/>
      <c r="S65" s="13"/>
      <c r="T65" s="254"/>
      <c r="U65" s="255"/>
      <c r="V65" s="562"/>
      <c r="W65" s="95"/>
      <c r="X65" s="13"/>
      <c r="Y65" s="254"/>
      <c r="Z65" s="255"/>
      <c r="AA65" s="562"/>
      <c r="AB65" s="95"/>
      <c r="AC65" s="13"/>
      <c r="AD65" s="254"/>
      <c r="AE65" s="255"/>
      <c r="AF65" s="643"/>
      <c r="AG65" s="191"/>
      <c r="AH65" s="192"/>
      <c r="AI65" s="193"/>
      <c r="AJ65" s="190"/>
      <c r="AK65" s="91"/>
      <c r="AL65"/>
      <c r="AM65"/>
      <c r="AN65"/>
      <c r="AO65"/>
      <c r="AP65"/>
      <c r="AQ65"/>
      <c r="AR65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</row>
    <row r="66" spans="1:86" s="1" customFormat="1" ht="18" hidden="1" customHeight="1">
      <c r="A66" s="540"/>
      <c r="B66" s="644"/>
      <c r="C66" s="194"/>
      <c r="D66" s="195"/>
      <c r="E66" s="196"/>
      <c r="F66" s="197"/>
      <c r="G66" s="587"/>
      <c r="H66" s="95"/>
      <c r="I66" s="13"/>
      <c r="J66" s="254"/>
      <c r="K66" s="255"/>
      <c r="L66" s="562"/>
      <c r="M66" s="95"/>
      <c r="N66" s="13"/>
      <c r="O66" s="254"/>
      <c r="P66" s="255"/>
      <c r="Q66" s="562"/>
      <c r="R66" s="95"/>
      <c r="S66" s="13"/>
      <c r="T66" s="254"/>
      <c r="U66" s="255"/>
      <c r="V66" s="562"/>
      <c r="W66" s="95"/>
      <c r="X66" s="13"/>
      <c r="Y66" s="254"/>
      <c r="Z66" s="255"/>
      <c r="AA66" s="562"/>
      <c r="AB66" s="95"/>
      <c r="AC66" s="13"/>
      <c r="AD66" s="254"/>
      <c r="AE66" s="255"/>
      <c r="AF66" s="644"/>
      <c r="AG66" s="198"/>
      <c r="AH66" s="199"/>
      <c r="AI66" s="200"/>
      <c r="AJ66" s="197"/>
      <c r="AK66" s="91"/>
      <c r="AL66"/>
      <c r="AM66"/>
      <c r="AN66"/>
      <c r="AO66"/>
      <c r="AP66"/>
      <c r="AQ66"/>
      <c r="AR66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</row>
    <row r="67" spans="1:86" s="1" customFormat="1" ht="18" hidden="1" customHeight="1">
      <c r="A67" s="540"/>
      <c r="B67" s="644"/>
      <c r="C67" s="194"/>
      <c r="D67" s="195"/>
      <c r="E67" s="196"/>
      <c r="F67" s="197"/>
      <c r="G67" s="587"/>
      <c r="H67" s="95"/>
      <c r="I67" s="13"/>
      <c r="J67" s="254"/>
      <c r="K67" s="255"/>
      <c r="L67" s="562"/>
      <c r="M67" s="95"/>
      <c r="N67" s="13"/>
      <c r="O67" s="254"/>
      <c r="P67" s="255"/>
      <c r="Q67" s="562"/>
      <c r="R67" s="95"/>
      <c r="S67" s="13"/>
      <c r="T67" s="254"/>
      <c r="U67" s="255"/>
      <c r="V67" s="562"/>
      <c r="W67" s="95"/>
      <c r="X67" s="13"/>
      <c r="Y67" s="254"/>
      <c r="Z67" s="255"/>
      <c r="AA67" s="562"/>
      <c r="AB67" s="95"/>
      <c r="AC67" s="13"/>
      <c r="AD67" s="254"/>
      <c r="AE67" s="255"/>
      <c r="AF67" s="644"/>
      <c r="AG67" s="198"/>
      <c r="AH67" s="199"/>
      <c r="AI67" s="200"/>
      <c r="AJ67" s="197"/>
      <c r="AK67" s="91"/>
      <c r="AL67"/>
      <c r="AM67"/>
      <c r="AN67"/>
      <c r="AO67"/>
      <c r="AP67"/>
      <c r="AQ67"/>
      <c r="AR67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</row>
    <row r="68" spans="1:86" s="1" customFormat="1" ht="18" hidden="1" customHeight="1">
      <c r="A68" s="540"/>
      <c r="B68" s="644"/>
      <c r="C68" s="194"/>
      <c r="D68" s="195"/>
      <c r="E68" s="196"/>
      <c r="F68" s="197"/>
      <c r="G68" s="587"/>
      <c r="H68" s="95"/>
      <c r="I68" s="13"/>
      <c r="J68" s="254"/>
      <c r="K68" s="255"/>
      <c r="L68" s="562"/>
      <c r="M68" s="95"/>
      <c r="N68" s="13"/>
      <c r="O68" s="254"/>
      <c r="P68" s="255"/>
      <c r="Q68" s="562"/>
      <c r="R68" s="95"/>
      <c r="S68" s="13"/>
      <c r="T68" s="254"/>
      <c r="U68" s="255"/>
      <c r="V68" s="562"/>
      <c r="W68" s="95"/>
      <c r="X68" s="13"/>
      <c r="Y68" s="254"/>
      <c r="Z68" s="255"/>
      <c r="AA68" s="562"/>
      <c r="AB68" s="95"/>
      <c r="AC68" s="13"/>
      <c r="AD68" s="254"/>
      <c r="AE68" s="255"/>
      <c r="AF68" s="644"/>
      <c r="AG68" s="198"/>
      <c r="AH68" s="199"/>
      <c r="AI68" s="200"/>
      <c r="AJ68" s="197"/>
      <c r="AK68" s="91"/>
      <c r="AL68"/>
      <c r="AM68"/>
      <c r="AN68"/>
      <c r="AO68"/>
      <c r="AP68"/>
      <c r="AQ68"/>
      <c r="AR68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</row>
    <row r="69" spans="1:86" s="1" customFormat="1" ht="18" hidden="1" customHeight="1">
      <c r="A69" s="540"/>
      <c r="B69" s="644"/>
      <c r="C69" s="194"/>
      <c r="D69" s="195"/>
      <c r="E69" s="196"/>
      <c r="F69" s="197"/>
      <c r="G69" s="587"/>
      <c r="H69" s="95"/>
      <c r="I69" s="13"/>
      <c r="J69" s="254"/>
      <c r="K69" s="255"/>
      <c r="L69" s="562"/>
      <c r="M69" s="95"/>
      <c r="N69" s="13"/>
      <c r="O69" s="254"/>
      <c r="P69" s="255"/>
      <c r="Q69" s="562"/>
      <c r="R69" s="95"/>
      <c r="S69" s="13"/>
      <c r="T69" s="254"/>
      <c r="U69" s="255"/>
      <c r="V69" s="562"/>
      <c r="W69" s="95"/>
      <c r="X69" s="13"/>
      <c r="Y69" s="254"/>
      <c r="Z69" s="255"/>
      <c r="AA69" s="562"/>
      <c r="AB69" s="95"/>
      <c r="AC69" s="13"/>
      <c r="AD69" s="254"/>
      <c r="AE69" s="255"/>
      <c r="AF69" s="644"/>
      <c r="AG69" s="198"/>
      <c r="AH69" s="199"/>
      <c r="AI69" s="200"/>
      <c r="AJ69" s="197"/>
      <c r="AK69" s="91"/>
      <c r="AL69"/>
      <c r="AM69"/>
      <c r="AN69"/>
      <c r="AO69"/>
      <c r="AP69"/>
      <c r="AQ69"/>
      <c r="AR69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</row>
    <row r="70" spans="1:86" s="1" customFormat="1" ht="18" hidden="1" customHeight="1">
      <c r="A70" s="540"/>
      <c r="B70" s="644"/>
      <c r="C70" s="194"/>
      <c r="D70" s="195"/>
      <c r="E70" s="196"/>
      <c r="F70" s="197"/>
      <c r="G70" s="587"/>
      <c r="H70" s="95"/>
      <c r="I70" s="13"/>
      <c r="J70" s="254"/>
      <c r="K70" s="255"/>
      <c r="L70" s="562"/>
      <c r="M70" s="95"/>
      <c r="N70" s="13"/>
      <c r="O70" s="254"/>
      <c r="P70" s="255"/>
      <c r="Q70" s="562"/>
      <c r="R70" s="95"/>
      <c r="S70" s="13"/>
      <c r="T70" s="254"/>
      <c r="U70" s="255"/>
      <c r="V70" s="562"/>
      <c r="W70" s="95"/>
      <c r="X70" s="13"/>
      <c r="Y70" s="254"/>
      <c r="Z70" s="255"/>
      <c r="AA70" s="562"/>
      <c r="AB70" s="95"/>
      <c r="AC70" s="13"/>
      <c r="AD70" s="254"/>
      <c r="AE70" s="255"/>
      <c r="AF70" s="644"/>
      <c r="AG70" s="198"/>
      <c r="AH70" s="199"/>
      <c r="AI70" s="200"/>
      <c r="AJ70" s="197"/>
      <c r="AK70" s="91"/>
      <c r="AL70"/>
      <c r="AM70"/>
      <c r="AN70"/>
      <c r="AO70"/>
      <c r="AP70"/>
      <c r="AQ70"/>
      <c r="AR70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</row>
    <row r="71" spans="1:86" s="1" customFormat="1" ht="18" hidden="1" customHeight="1">
      <c r="A71" s="540"/>
      <c r="B71" s="644"/>
      <c r="C71" s="194"/>
      <c r="D71" s="195"/>
      <c r="E71" s="196"/>
      <c r="F71" s="197"/>
      <c r="G71" s="587"/>
      <c r="H71" s="95"/>
      <c r="I71" s="13"/>
      <c r="J71" s="254"/>
      <c r="K71" s="255"/>
      <c r="L71" s="562"/>
      <c r="M71" s="95"/>
      <c r="N71" s="13"/>
      <c r="O71" s="254"/>
      <c r="P71" s="255"/>
      <c r="Q71" s="562"/>
      <c r="R71" s="95"/>
      <c r="S71" s="13"/>
      <c r="T71" s="254"/>
      <c r="U71" s="255"/>
      <c r="V71" s="562"/>
      <c r="W71" s="95"/>
      <c r="X71" s="13"/>
      <c r="Y71" s="254"/>
      <c r="Z71" s="255"/>
      <c r="AA71" s="562"/>
      <c r="AB71" s="95"/>
      <c r="AC71" s="13"/>
      <c r="AD71" s="254"/>
      <c r="AE71" s="255"/>
      <c r="AF71" s="644"/>
      <c r="AG71" s="198"/>
      <c r="AH71" s="199"/>
      <c r="AI71" s="200"/>
      <c r="AJ71" s="197"/>
      <c r="AK71" s="91"/>
      <c r="AL71"/>
      <c r="AM71"/>
      <c r="AN71"/>
      <c r="AO71"/>
      <c r="AP71"/>
      <c r="AQ71"/>
      <c r="AR71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</row>
    <row r="72" spans="1:86" s="1" customFormat="1" ht="18" hidden="1" customHeight="1">
      <c r="A72" s="540"/>
      <c r="B72" s="644"/>
      <c r="C72" s="194"/>
      <c r="D72" s="195"/>
      <c r="E72" s="196"/>
      <c r="F72" s="197"/>
      <c r="G72" s="587"/>
      <c r="H72" s="95"/>
      <c r="I72" s="13"/>
      <c r="J72" s="254"/>
      <c r="K72" s="255"/>
      <c r="L72" s="562"/>
      <c r="M72" s="95"/>
      <c r="N72" s="13"/>
      <c r="O72" s="254"/>
      <c r="P72" s="255"/>
      <c r="Q72" s="562"/>
      <c r="R72" s="95"/>
      <c r="S72" s="13"/>
      <c r="T72" s="254"/>
      <c r="U72" s="255"/>
      <c r="V72" s="562"/>
      <c r="W72" s="95"/>
      <c r="X72" s="13"/>
      <c r="Y72" s="254"/>
      <c r="Z72" s="255"/>
      <c r="AA72" s="562"/>
      <c r="AB72" s="95"/>
      <c r="AC72" s="13"/>
      <c r="AD72" s="254"/>
      <c r="AE72" s="255"/>
      <c r="AF72" s="644"/>
      <c r="AG72" s="198"/>
      <c r="AH72" s="199"/>
      <c r="AI72" s="200"/>
      <c r="AJ72" s="197"/>
      <c r="AK72" s="91"/>
      <c r="AL72"/>
      <c r="AM72"/>
      <c r="AN72"/>
      <c r="AO72"/>
      <c r="AP72"/>
      <c r="AQ72"/>
      <c r="AR72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</row>
    <row r="73" spans="1:86" s="1" customFormat="1" ht="18" hidden="1" customHeight="1">
      <c r="A73" s="540"/>
      <c r="B73" s="644"/>
      <c r="C73" s="194"/>
      <c r="D73" s="195"/>
      <c r="E73" s="196"/>
      <c r="F73" s="197"/>
      <c r="G73" s="587"/>
      <c r="H73" s="95"/>
      <c r="I73" s="13"/>
      <c r="J73" s="254"/>
      <c r="K73" s="255"/>
      <c r="L73" s="562"/>
      <c r="M73" s="95"/>
      <c r="N73" s="13"/>
      <c r="O73" s="254"/>
      <c r="P73" s="255"/>
      <c r="Q73" s="562"/>
      <c r="R73" s="95"/>
      <c r="S73" s="13"/>
      <c r="T73" s="254"/>
      <c r="U73" s="255"/>
      <c r="V73" s="562"/>
      <c r="W73" s="95"/>
      <c r="X73" s="13"/>
      <c r="Y73" s="254"/>
      <c r="Z73" s="255"/>
      <c r="AA73" s="562"/>
      <c r="AB73" s="95"/>
      <c r="AC73" s="13"/>
      <c r="AD73" s="254"/>
      <c r="AE73" s="255"/>
      <c r="AF73" s="644"/>
      <c r="AG73" s="198"/>
      <c r="AH73" s="199"/>
      <c r="AI73" s="200"/>
      <c r="AJ73" s="197"/>
      <c r="AK73" s="91"/>
      <c r="AL73"/>
      <c r="AM73"/>
      <c r="AN73"/>
      <c r="AO73"/>
      <c r="AP73"/>
      <c r="AQ73"/>
      <c r="AR73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</row>
    <row r="74" spans="1:86" s="1" customFormat="1" ht="18" hidden="1" customHeight="1">
      <c r="A74" s="540"/>
      <c r="B74" s="644"/>
      <c r="C74" s="194"/>
      <c r="D74" s="195"/>
      <c r="E74" s="196"/>
      <c r="F74" s="197"/>
      <c r="G74" s="587"/>
      <c r="H74" s="95"/>
      <c r="I74" s="13"/>
      <c r="J74" s="254"/>
      <c r="K74" s="255"/>
      <c r="L74" s="562"/>
      <c r="M74" s="95"/>
      <c r="N74" s="13"/>
      <c r="O74" s="254"/>
      <c r="P74" s="255"/>
      <c r="Q74" s="562"/>
      <c r="R74" s="95"/>
      <c r="S74" s="13"/>
      <c r="T74" s="254"/>
      <c r="U74" s="255"/>
      <c r="V74" s="562"/>
      <c r="W74" s="95"/>
      <c r="X74" s="13"/>
      <c r="Y74" s="254"/>
      <c r="Z74" s="255"/>
      <c r="AA74" s="562"/>
      <c r="AB74" s="95"/>
      <c r="AC74" s="13"/>
      <c r="AD74" s="254"/>
      <c r="AE74" s="255"/>
      <c r="AF74" s="644"/>
      <c r="AG74" s="198"/>
      <c r="AH74" s="199"/>
      <c r="AI74" s="200"/>
      <c r="AJ74" s="197"/>
      <c r="AK74" s="91"/>
      <c r="AL74"/>
      <c r="AM74"/>
      <c r="AN74"/>
      <c r="AO74"/>
      <c r="AP74"/>
      <c r="AQ74"/>
      <c r="AR7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86" s="1" customFormat="1" ht="18" hidden="1" customHeight="1">
      <c r="A75" s="540"/>
      <c r="B75" s="644"/>
      <c r="C75" s="194"/>
      <c r="D75" s="195"/>
      <c r="E75" s="196"/>
      <c r="F75" s="197"/>
      <c r="G75" s="587"/>
      <c r="H75" s="95"/>
      <c r="I75" s="13"/>
      <c r="J75" s="254"/>
      <c r="K75" s="255"/>
      <c r="L75" s="562"/>
      <c r="M75" s="95"/>
      <c r="N75" s="13"/>
      <c r="O75" s="254"/>
      <c r="P75" s="255"/>
      <c r="Q75" s="562"/>
      <c r="R75" s="95"/>
      <c r="S75" s="13"/>
      <c r="T75" s="254"/>
      <c r="U75" s="255"/>
      <c r="V75" s="562"/>
      <c r="W75" s="95"/>
      <c r="X75" s="13"/>
      <c r="Y75" s="254"/>
      <c r="Z75" s="255"/>
      <c r="AA75" s="562"/>
      <c r="AB75" s="95"/>
      <c r="AC75" s="13"/>
      <c r="AD75" s="254"/>
      <c r="AE75" s="255"/>
      <c r="AF75" s="644"/>
      <c r="AG75" s="198"/>
      <c r="AH75" s="199"/>
      <c r="AI75" s="200"/>
      <c r="AJ75" s="197"/>
      <c r="AK75" s="91"/>
      <c r="AL75"/>
      <c r="AM75"/>
      <c r="AN75"/>
      <c r="AO75"/>
      <c r="AP75"/>
      <c r="AQ75"/>
      <c r="AR75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86" s="1" customFormat="1" ht="18" hidden="1" customHeight="1">
      <c r="A76" s="540"/>
      <c r="B76" s="644"/>
      <c r="C76" s="194"/>
      <c r="D76" s="195"/>
      <c r="E76" s="196"/>
      <c r="F76" s="197"/>
      <c r="G76" s="587"/>
      <c r="H76" s="95"/>
      <c r="I76" s="13"/>
      <c r="J76" s="254"/>
      <c r="K76" s="255"/>
      <c r="L76" s="562"/>
      <c r="M76" s="95"/>
      <c r="N76" s="13"/>
      <c r="O76" s="254"/>
      <c r="P76" s="255"/>
      <c r="Q76" s="562"/>
      <c r="R76" s="95"/>
      <c r="S76" s="13"/>
      <c r="T76" s="254"/>
      <c r="U76" s="255"/>
      <c r="V76" s="562"/>
      <c r="W76" s="95"/>
      <c r="X76" s="13"/>
      <c r="Y76" s="254"/>
      <c r="Z76" s="255"/>
      <c r="AA76" s="562"/>
      <c r="AB76" s="95"/>
      <c r="AC76" s="13"/>
      <c r="AD76" s="254"/>
      <c r="AE76" s="255"/>
      <c r="AF76" s="644"/>
      <c r="AG76" s="198"/>
      <c r="AH76" s="199"/>
      <c r="AI76" s="200"/>
      <c r="AJ76" s="197"/>
      <c r="AK76" s="91"/>
      <c r="AL76"/>
      <c r="AM76"/>
      <c r="AN76"/>
      <c r="AO76"/>
      <c r="AP76"/>
      <c r="AQ76"/>
      <c r="AR76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86" s="1" customFormat="1" ht="18" hidden="1" customHeight="1">
      <c r="A77" s="540"/>
      <c r="B77" s="644"/>
      <c r="C77" s="194"/>
      <c r="D77" s="195"/>
      <c r="E77" s="196"/>
      <c r="F77" s="197"/>
      <c r="G77" s="587"/>
      <c r="H77" s="95"/>
      <c r="I77" s="13"/>
      <c r="J77" s="254"/>
      <c r="K77" s="255"/>
      <c r="L77" s="562"/>
      <c r="M77" s="95"/>
      <c r="N77" s="13"/>
      <c r="O77" s="254"/>
      <c r="P77" s="255"/>
      <c r="Q77" s="562"/>
      <c r="R77" s="95"/>
      <c r="S77" s="13"/>
      <c r="T77" s="254"/>
      <c r="U77" s="255"/>
      <c r="V77" s="562"/>
      <c r="W77" s="95"/>
      <c r="X77" s="13"/>
      <c r="Y77" s="254"/>
      <c r="Z77" s="255"/>
      <c r="AA77" s="562"/>
      <c r="AB77" s="95"/>
      <c r="AC77" s="13"/>
      <c r="AD77" s="254"/>
      <c r="AE77" s="255"/>
      <c r="AF77" s="644"/>
      <c r="AG77" s="198"/>
      <c r="AH77" s="199"/>
      <c r="AI77" s="200"/>
      <c r="AJ77" s="197"/>
      <c r="AK77" s="91"/>
      <c r="AL77"/>
      <c r="AM77"/>
      <c r="AN77"/>
      <c r="AO77"/>
      <c r="AP77"/>
      <c r="AQ77"/>
      <c r="AR77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86" s="1" customFormat="1" ht="18" hidden="1" customHeight="1">
      <c r="A78" s="540"/>
      <c r="B78" s="644"/>
      <c r="C78" s="194"/>
      <c r="D78" s="195"/>
      <c r="E78" s="196"/>
      <c r="F78" s="197"/>
      <c r="G78" s="587"/>
      <c r="H78" s="95"/>
      <c r="I78" s="13"/>
      <c r="J78" s="254"/>
      <c r="K78" s="255"/>
      <c r="L78" s="562"/>
      <c r="M78" s="95"/>
      <c r="N78" s="13"/>
      <c r="O78" s="254"/>
      <c r="P78" s="255"/>
      <c r="Q78" s="562"/>
      <c r="R78" s="95"/>
      <c r="S78" s="13"/>
      <c r="T78" s="254"/>
      <c r="U78" s="255"/>
      <c r="V78" s="562"/>
      <c r="W78" s="95"/>
      <c r="X78" s="13"/>
      <c r="Y78" s="254"/>
      <c r="Z78" s="255"/>
      <c r="AA78" s="562"/>
      <c r="AB78" s="95"/>
      <c r="AC78" s="13"/>
      <c r="AD78" s="254"/>
      <c r="AE78" s="255"/>
      <c r="AF78" s="644"/>
      <c r="AG78" s="198"/>
      <c r="AH78" s="199"/>
      <c r="AI78" s="200"/>
      <c r="AJ78" s="197"/>
      <c r="AK78" s="91"/>
      <c r="AL78"/>
      <c r="AM78"/>
      <c r="AN78"/>
      <c r="AO78"/>
      <c r="AP78"/>
      <c r="AQ78"/>
      <c r="AR78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86" s="1" customFormat="1" ht="18" hidden="1" customHeight="1" thickBot="1">
      <c r="A79" s="541"/>
      <c r="B79" s="645"/>
      <c r="C79" s="201"/>
      <c r="D79" s="202"/>
      <c r="E79" s="203"/>
      <c r="F79" s="204"/>
      <c r="G79" s="588"/>
      <c r="H79" s="95"/>
      <c r="I79" s="13"/>
      <c r="J79" s="254"/>
      <c r="K79" s="257"/>
      <c r="L79" s="563"/>
      <c r="M79" s="95"/>
      <c r="N79" s="13"/>
      <c r="O79" s="254"/>
      <c r="P79" s="257"/>
      <c r="Q79" s="563"/>
      <c r="R79" s="95"/>
      <c r="S79" s="13"/>
      <c r="T79" s="254"/>
      <c r="U79" s="257"/>
      <c r="V79" s="563"/>
      <c r="W79" s="95"/>
      <c r="X79" s="13"/>
      <c r="Y79" s="254"/>
      <c r="Z79" s="257"/>
      <c r="AA79" s="563"/>
      <c r="AB79" s="95"/>
      <c r="AC79" s="13"/>
      <c r="AD79" s="254"/>
      <c r="AE79" s="257"/>
      <c r="AF79" s="645"/>
      <c r="AG79" s="205"/>
      <c r="AH79" s="206"/>
      <c r="AI79" s="207"/>
      <c r="AJ79" s="204"/>
      <c r="AK79" s="91"/>
      <c r="AL79"/>
      <c r="AM79"/>
      <c r="AN79"/>
      <c r="AO79"/>
      <c r="AP79"/>
      <c r="AQ79"/>
      <c r="AR79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86" s="1" customFormat="1" ht="18" hidden="1" customHeight="1">
      <c r="A80" s="539" t="s">
        <v>51</v>
      </c>
      <c r="B80" s="643"/>
      <c r="C80" s="187"/>
      <c r="D80" s="188"/>
      <c r="E80" s="189"/>
      <c r="F80" s="190"/>
      <c r="G80" s="586"/>
      <c r="H80" s="95"/>
      <c r="I80" s="13"/>
      <c r="J80" s="254"/>
      <c r="K80" s="267"/>
      <c r="L80" s="561"/>
      <c r="M80" s="95"/>
      <c r="N80" s="13"/>
      <c r="O80" s="254"/>
      <c r="P80" s="267"/>
      <c r="Q80" s="561"/>
      <c r="R80" s="95"/>
      <c r="S80" s="13"/>
      <c r="T80" s="254"/>
      <c r="U80" s="267"/>
      <c r="V80" s="561"/>
      <c r="W80" s="95"/>
      <c r="X80" s="13"/>
      <c r="Y80" s="254"/>
      <c r="Z80" s="267"/>
      <c r="AA80" s="561"/>
      <c r="AB80" s="95"/>
      <c r="AC80" s="13"/>
      <c r="AD80" s="254"/>
      <c r="AE80" s="267"/>
      <c r="AF80" s="643"/>
      <c r="AG80" s="191"/>
      <c r="AH80" s="192"/>
      <c r="AI80" s="193"/>
      <c r="AJ80" s="190"/>
      <c r="AK80" s="91"/>
      <c r="AL80"/>
      <c r="AM80"/>
      <c r="AN80"/>
      <c r="AO80"/>
      <c r="AP80"/>
      <c r="AQ80"/>
      <c r="AR80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1:86" s="1" customFormat="1" ht="18" hidden="1" customHeight="1">
      <c r="A81" s="540"/>
      <c r="B81" s="644"/>
      <c r="C81" s="194"/>
      <c r="D81" s="195"/>
      <c r="E81" s="196"/>
      <c r="F81" s="197"/>
      <c r="G81" s="587"/>
      <c r="H81" s="95"/>
      <c r="I81" s="13"/>
      <c r="J81" s="254"/>
      <c r="K81" s="255"/>
      <c r="L81" s="562"/>
      <c r="M81" s="95"/>
      <c r="N81" s="13"/>
      <c r="O81" s="254"/>
      <c r="P81" s="255"/>
      <c r="Q81" s="562"/>
      <c r="R81" s="95"/>
      <c r="S81" s="13"/>
      <c r="T81" s="254"/>
      <c r="U81" s="255"/>
      <c r="V81" s="562"/>
      <c r="W81" s="95"/>
      <c r="X81" s="13"/>
      <c r="Y81" s="254"/>
      <c r="Z81" s="255"/>
      <c r="AA81" s="562"/>
      <c r="AB81" s="95"/>
      <c r="AC81" s="13"/>
      <c r="AD81" s="254"/>
      <c r="AE81" s="255"/>
      <c r="AF81" s="644"/>
      <c r="AG81" s="198"/>
      <c r="AH81" s="199"/>
      <c r="AI81" s="200"/>
      <c r="AJ81" s="197"/>
      <c r="AK81" s="91"/>
      <c r="AL81"/>
      <c r="AM81"/>
      <c r="AN81"/>
      <c r="AO81"/>
      <c r="AP81"/>
      <c r="AQ81"/>
      <c r="AR81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1:86" s="1" customFormat="1" ht="18" hidden="1" customHeight="1">
      <c r="A82" s="540"/>
      <c r="B82" s="644"/>
      <c r="C82" s="194"/>
      <c r="D82" s="195"/>
      <c r="E82" s="196"/>
      <c r="F82" s="197"/>
      <c r="G82" s="587"/>
      <c r="H82" s="95"/>
      <c r="I82" s="13"/>
      <c r="J82" s="254"/>
      <c r="K82" s="255"/>
      <c r="L82" s="562"/>
      <c r="M82" s="95"/>
      <c r="N82" s="13"/>
      <c r="O82" s="254"/>
      <c r="P82" s="255"/>
      <c r="Q82" s="562"/>
      <c r="R82" s="95"/>
      <c r="S82" s="13"/>
      <c r="T82" s="254"/>
      <c r="U82" s="255"/>
      <c r="V82" s="562"/>
      <c r="W82" s="95"/>
      <c r="X82" s="13"/>
      <c r="Y82" s="254"/>
      <c r="Z82" s="255"/>
      <c r="AA82" s="562"/>
      <c r="AB82" s="95"/>
      <c r="AC82" s="13"/>
      <c r="AD82" s="254"/>
      <c r="AE82" s="255"/>
      <c r="AF82" s="644"/>
      <c r="AG82" s="198"/>
      <c r="AH82" s="199"/>
      <c r="AI82" s="200"/>
      <c r="AJ82" s="197"/>
      <c r="AK82" s="91"/>
      <c r="AL82"/>
      <c r="AM82"/>
      <c r="AN82"/>
      <c r="AO82"/>
      <c r="AP82"/>
      <c r="AQ82"/>
      <c r="AR82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1:86" s="1" customFormat="1" ht="18" hidden="1" customHeight="1">
      <c r="A83" s="540"/>
      <c r="B83" s="644"/>
      <c r="C83" s="194"/>
      <c r="D83" s="195"/>
      <c r="E83" s="196"/>
      <c r="F83" s="197"/>
      <c r="G83" s="587"/>
      <c r="H83" s="95"/>
      <c r="I83" s="13"/>
      <c r="J83" s="254"/>
      <c r="K83" s="255"/>
      <c r="L83" s="562"/>
      <c r="M83" s="95"/>
      <c r="N83" s="13"/>
      <c r="O83" s="254"/>
      <c r="P83" s="255"/>
      <c r="Q83" s="562"/>
      <c r="R83" s="95"/>
      <c r="S83" s="13"/>
      <c r="T83" s="254"/>
      <c r="U83" s="255"/>
      <c r="V83" s="562"/>
      <c r="W83" s="95"/>
      <c r="X83" s="13"/>
      <c r="Y83" s="254"/>
      <c r="Z83" s="255"/>
      <c r="AA83" s="562"/>
      <c r="AB83" s="95"/>
      <c r="AC83" s="13"/>
      <c r="AD83" s="254"/>
      <c r="AE83" s="255"/>
      <c r="AF83" s="644"/>
      <c r="AG83" s="198"/>
      <c r="AH83" s="199"/>
      <c r="AI83" s="200"/>
      <c r="AJ83" s="197"/>
      <c r="AK83" s="91"/>
      <c r="AL83"/>
      <c r="AM83"/>
      <c r="AN83"/>
      <c r="AO83"/>
      <c r="AP83"/>
      <c r="AQ83"/>
      <c r="AR83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1:86" s="1" customFormat="1" ht="18" hidden="1" customHeight="1">
      <c r="A84" s="540"/>
      <c r="B84" s="644"/>
      <c r="C84" s="194"/>
      <c r="D84" s="195"/>
      <c r="E84" s="196"/>
      <c r="F84" s="197"/>
      <c r="G84" s="587"/>
      <c r="H84" s="95"/>
      <c r="I84" s="13"/>
      <c r="J84" s="254"/>
      <c r="K84" s="255"/>
      <c r="L84" s="562"/>
      <c r="M84" s="95"/>
      <c r="N84" s="13"/>
      <c r="O84" s="254"/>
      <c r="P84" s="255"/>
      <c r="Q84" s="562"/>
      <c r="R84" s="95"/>
      <c r="S84" s="13"/>
      <c r="T84" s="254"/>
      <c r="U84" s="255"/>
      <c r="V84" s="562"/>
      <c r="W84" s="95"/>
      <c r="X84" s="13"/>
      <c r="Y84" s="254"/>
      <c r="Z84" s="255"/>
      <c r="AA84" s="562"/>
      <c r="AB84" s="95"/>
      <c r="AC84" s="13"/>
      <c r="AD84" s="254"/>
      <c r="AE84" s="255"/>
      <c r="AF84" s="644"/>
      <c r="AG84" s="198"/>
      <c r="AH84" s="199"/>
      <c r="AI84" s="200"/>
      <c r="AJ84" s="197"/>
      <c r="AK84" s="91"/>
      <c r="AL84"/>
      <c r="AM84"/>
      <c r="AN84"/>
      <c r="AO84"/>
      <c r="AP84"/>
      <c r="AQ84"/>
      <c r="AR8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1:86" s="1" customFormat="1" ht="18" hidden="1" customHeight="1">
      <c r="A85" s="540"/>
      <c r="B85" s="644"/>
      <c r="C85" s="194"/>
      <c r="D85" s="195"/>
      <c r="E85" s="196"/>
      <c r="F85" s="197"/>
      <c r="G85" s="587"/>
      <c r="H85" s="95"/>
      <c r="I85" s="13"/>
      <c r="J85" s="254"/>
      <c r="K85" s="255"/>
      <c r="L85" s="562"/>
      <c r="M85" s="95"/>
      <c r="N85" s="13"/>
      <c r="O85" s="254"/>
      <c r="P85" s="255"/>
      <c r="Q85" s="562"/>
      <c r="R85" s="95"/>
      <c r="S85" s="13"/>
      <c r="T85" s="254"/>
      <c r="U85" s="255"/>
      <c r="V85" s="562"/>
      <c r="W85" s="95"/>
      <c r="X85" s="13"/>
      <c r="Y85" s="254"/>
      <c r="Z85" s="255"/>
      <c r="AA85" s="562"/>
      <c r="AB85" s="95"/>
      <c r="AC85" s="13"/>
      <c r="AD85" s="254"/>
      <c r="AE85" s="255"/>
      <c r="AF85" s="644"/>
      <c r="AG85" s="198"/>
      <c r="AH85" s="199"/>
      <c r="AI85" s="200"/>
      <c r="AJ85" s="197"/>
      <c r="AK85" s="91"/>
      <c r="AL85"/>
      <c r="AM85"/>
      <c r="AN85"/>
      <c r="AO85"/>
      <c r="AP85"/>
      <c r="AQ85"/>
      <c r="AR85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86" s="1" customFormat="1" ht="18" hidden="1" customHeight="1">
      <c r="A86" s="540"/>
      <c r="B86" s="644"/>
      <c r="C86" s="194"/>
      <c r="D86" s="195"/>
      <c r="E86" s="196"/>
      <c r="F86" s="197"/>
      <c r="G86" s="587"/>
      <c r="H86" s="95"/>
      <c r="I86" s="13"/>
      <c r="J86" s="254"/>
      <c r="K86" s="255"/>
      <c r="L86" s="562"/>
      <c r="M86" s="95"/>
      <c r="N86" s="13"/>
      <c r="O86" s="254"/>
      <c r="P86" s="255"/>
      <c r="Q86" s="562"/>
      <c r="R86" s="95"/>
      <c r="S86" s="13"/>
      <c r="T86" s="254"/>
      <c r="U86" s="255"/>
      <c r="V86" s="562"/>
      <c r="W86" s="95"/>
      <c r="X86" s="13"/>
      <c r="Y86" s="254"/>
      <c r="Z86" s="255"/>
      <c r="AA86" s="562"/>
      <c r="AB86" s="95"/>
      <c r="AC86" s="13"/>
      <c r="AD86" s="254"/>
      <c r="AE86" s="255"/>
      <c r="AF86" s="644"/>
      <c r="AG86" s="198"/>
      <c r="AH86" s="199"/>
      <c r="AI86" s="200"/>
      <c r="AJ86" s="197"/>
      <c r="AK86" s="91"/>
      <c r="AL86"/>
      <c r="AM86"/>
      <c r="AN86"/>
      <c r="AO86"/>
      <c r="AP86"/>
      <c r="AQ86"/>
      <c r="AR86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86" s="1" customFormat="1" ht="18" hidden="1" customHeight="1">
      <c r="A87" s="540"/>
      <c r="B87" s="644"/>
      <c r="C87" s="194"/>
      <c r="D87" s="195"/>
      <c r="E87" s="196"/>
      <c r="F87" s="197"/>
      <c r="G87" s="587"/>
      <c r="H87" s="95"/>
      <c r="I87" s="13"/>
      <c r="J87" s="254"/>
      <c r="K87" s="255"/>
      <c r="L87" s="562"/>
      <c r="M87" s="95"/>
      <c r="N87" s="13"/>
      <c r="O87" s="254"/>
      <c r="P87" s="255"/>
      <c r="Q87" s="562"/>
      <c r="R87" s="95"/>
      <c r="S87" s="13"/>
      <c r="T87" s="254"/>
      <c r="U87" s="255"/>
      <c r="V87" s="562"/>
      <c r="W87" s="95"/>
      <c r="X87" s="13"/>
      <c r="Y87" s="254"/>
      <c r="Z87" s="255"/>
      <c r="AA87" s="562"/>
      <c r="AB87" s="95"/>
      <c r="AC87" s="13"/>
      <c r="AD87" s="254"/>
      <c r="AE87" s="255"/>
      <c r="AF87" s="644"/>
      <c r="AG87" s="198"/>
      <c r="AH87" s="199"/>
      <c r="AI87" s="200"/>
      <c r="AJ87" s="197"/>
      <c r="AK87" s="91"/>
      <c r="AL87"/>
      <c r="AM87"/>
      <c r="AN87"/>
      <c r="AO87"/>
      <c r="AP87"/>
      <c r="AQ87"/>
      <c r="AR87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86" s="1" customFormat="1" ht="18" hidden="1" customHeight="1">
      <c r="A88" s="540"/>
      <c r="B88" s="644"/>
      <c r="C88" s="194"/>
      <c r="D88" s="195"/>
      <c r="E88" s="196"/>
      <c r="F88" s="197"/>
      <c r="G88" s="587"/>
      <c r="H88" s="95"/>
      <c r="I88" s="13"/>
      <c r="J88" s="254"/>
      <c r="K88" s="255"/>
      <c r="L88" s="562"/>
      <c r="M88" s="95"/>
      <c r="N88" s="13"/>
      <c r="O88" s="254"/>
      <c r="P88" s="255"/>
      <c r="Q88" s="562"/>
      <c r="R88" s="95"/>
      <c r="S88" s="13"/>
      <c r="T88" s="254"/>
      <c r="U88" s="255"/>
      <c r="V88" s="562"/>
      <c r="W88" s="95"/>
      <c r="X88" s="13"/>
      <c r="Y88" s="254"/>
      <c r="Z88" s="255"/>
      <c r="AA88" s="562"/>
      <c r="AB88" s="95"/>
      <c r="AC88" s="13"/>
      <c r="AD88" s="254"/>
      <c r="AE88" s="255"/>
      <c r="AF88" s="644"/>
      <c r="AG88" s="198"/>
      <c r="AH88" s="199"/>
      <c r="AI88" s="200"/>
      <c r="AJ88" s="197"/>
      <c r="AK88" s="91"/>
      <c r="AL88"/>
      <c r="AM88"/>
      <c r="AN88"/>
      <c r="AO88"/>
      <c r="AP88"/>
      <c r="AQ88"/>
      <c r="AR88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86" s="1" customFormat="1" ht="18" hidden="1" customHeight="1">
      <c r="A89" s="540"/>
      <c r="B89" s="644"/>
      <c r="C89" s="194"/>
      <c r="D89" s="195"/>
      <c r="E89" s="196"/>
      <c r="F89" s="197"/>
      <c r="G89" s="587"/>
      <c r="H89" s="95"/>
      <c r="I89" s="13"/>
      <c r="J89" s="254"/>
      <c r="K89" s="255"/>
      <c r="L89" s="562"/>
      <c r="M89" s="95"/>
      <c r="N89" s="13"/>
      <c r="O89" s="254"/>
      <c r="P89" s="255"/>
      <c r="Q89" s="562"/>
      <c r="R89" s="95"/>
      <c r="S89" s="13"/>
      <c r="T89" s="254"/>
      <c r="U89" s="255"/>
      <c r="V89" s="562"/>
      <c r="W89" s="95"/>
      <c r="X89" s="13"/>
      <c r="Y89" s="254"/>
      <c r="Z89" s="255"/>
      <c r="AA89" s="562"/>
      <c r="AB89" s="95"/>
      <c r="AC89" s="13"/>
      <c r="AD89" s="254"/>
      <c r="AE89" s="255"/>
      <c r="AF89" s="644"/>
      <c r="AG89" s="198"/>
      <c r="AH89" s="199"/>
      <c r="AI89" s="200"/>
      <c r="AJ89" s="197"/>
      <c r="AK89" s="91"/>
      <c r="AL89"/>
      <c r="AM89"/>
      <c r="AN89"/>
      <c r="AO89"/>
      <c r="AP89"/>
      <c r="AQ89"/>
      <c r="AR89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86" s="1" customFormat="1" ht="18" hidden="1" customHeight="1">
      <c r="A90" s="540"/>
      <c r="B90" s="644"/>
      <c r="C90" s="194"/>
      <c r="D90" s="195"/>
      <c r="E90" s="196"/>
      <c r="F90" s="197"/>
      <c r="G90" s="587"/>
      <c r="H90" s="95"/>
      <c r="I90" s="13"/>
      <c r="J90" s="254"/>
      <c r="K90" s="255"/>
      <c r="L90" s="562"/>
      <c r="M90" s="95"/>
      <c r="N90" s="13"/>
      <c r="O90" s="254"/>
      <c r="P90" s="255"/>
      <c r="Q90" s="562"/>
      <c r="R90" s="95"/>
      <c r="S90" s="13"/>
      <c r="T90" s="254"/>
      <c r="U90" s="255"/>
      <c r="V90" s="562"/>
      <c r="W90" s="95"/>
      <c r="X90" s="13"/>
      <c r="Y90" s="254"/>
      <c r="Z90" s="255"/>
      <c r="AA90" s="562"/>
      <c r="AB90" s="95"/>
      <c r="AC90" s="13"/>
      <c r="AD90" s="254"/>
      <c r="AE90" s="255"/>
      <c r="AF90" s="644"/>
      <c r="AG90" s="198"/>
      <c r="AH90" s="199"/>
      <c r="AI90" s="200"/>
      <c r="AJ90" s="197"/>
      <c r="AK90" s="91"/>
      <c r="AL90"/>
      <c r="AM90"/>
      <c r="AN90"/>
      <c r="AO90"/>
      <c r="AP90"/>
      <c r="AQ90"/>
      <c r="AR90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86" s="1" customFormat="1" ht="18" hidden="1" customHeight="1">
      <c r="A91" s="540"/>
      <c r="B91" s="644"/>
      <c r="C91" s="194"/>
      <c r="D91" s="195"/>
      <c r="E91" s="196"/>
      <c r="F91" s="197"/>
      <c r="G91" s="587"/>
      <c r="H91" s="95"/>
      <c r="I91" s="13"/>
      <c r="J91" s="254"/>
      <c r="K91" s="255"/>
      <c r="L91" s="562"/>
      <c r="M91" s="95"/>
      <c r="N91" s="13"/>
      <c r="O91" s="254"/>
      <c r="P91" s="255"/>
      <c r="Q91" s="562"/>
      <c r="R91" s="95"/>
      <c r="S91" s="13"/>
      <c r="T91" s="254"/>
      <c r="U91" s="255"/>
      <c r="V91" s="562"/>
      <c r="W91" s="95"/>
      <c r="X91" s="13"/>
      <c r="Y91" s="254"/>
      <c r="Z91" s="255"/>
      <c r="AA91" s="562"/>
      <c r="AB91" s="95"/>
      <c r="AC91" s="13"/>
      <c r="AD91" s="254"/>
      <c r="AE91" s="255"/>
      <c r="AF91" s="644"/>
      <c r="AG91" s="198"/>
      <c r="AH91" s="199"/>
      <c r="AI91" s="200"/>
      <c r="AJ91" s="197"/>
      <c r="AK91" s="91"/>
      <c r="AL91"/>
      <c r="AM91"/>
      <c r="AN91"/>
      <c r="AO91"/>
      <c r="AP91"/>
      <c r="AQ91"/>
      <c r="AR91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86" s="1" customFormat="1" ht="18" hidden="1" customHeight="1">
      <c r="A92" s="540"/>
      <c r="B92" s="644"/>
      <c r="C92" s="194"/>
      <c r="D92" s="195"/>
      <c r="E92" s="196"/>
      <c r="F92" s="197"/>
      <c r="G92" s="587"/>
      <c r="H92" s="95"/>
      <c r="I92" s="13"/>
      <c r="J92" s="254"/>
      <c r="K92" s="255"/>
      <c r="L92" s="562"/>
      <c r="M92" s="95"/>
      <c r="N92" s="13"/>
      <c r="O92" s="254"/>
      <c r="P92" s="255"/>
      <c r="Q92" s="562"/>
      <c r="R92" s="95"/>
      <c r="S92" s="13"/>
      <c r="T92" s="254"/>
      <c r="U92" s="255"/>
      <c r="V92" s="562"/>
      <c r="W92" s="95"/>
      <c r="X92" s="13"/>
      <c r="Y92" s="254"/>
      <c r="Z92" s="255"/>
      <c r="AA92" s="562"/>
      <c r="AB92" s="95"/>
      <c r="AC92" s="13"/>
      <c r="AD92" s="254"/>
      <c r="AE92" s="255"/>
      <c r="AF92" s="644"/>
      <c r="AG92" s="198"/>
      <c r="AH92" s="199"/>
      <c r="AI92" s="200"/>
      <c r="AJ92" s="197"/>
      <c r="AK92" s="91"/>
      <c r="AL92"/>
      <c r="AM92"/>
      <c r="AN92"/>
      <c r="AO92"/>
      <c r="AP92"/>
      <c r="AQ92"/>
      <c r="AR92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86" s="1" customFormat="1" ht="18" hidden="1" customHeight="1">
      <c r="A93" s="540"/>
      <c r="B93" s="644"/>
      <c r="C93" s="194"/>
      <c r="D93" s="195"/>
      <c r="E93" s="196"/>
      <c r="F93" s="197"/>
      <c r="G93" s="587"/>
      <c r="H93" s="95"/>
      <c r="I93" s="13"/>
      <c r="J93" s="254"/>
      <c r="K93" s="255"/>
      <c r="L93" s="562"/>
      <c r="M93" s="95"/>
      <c r="N93" s="13"/>
      <c r="O93" s="254"/>
      <c r="P93" s="255"/>
      <c r="Q93" s="562"/>
      <c r="R93" s="95"/>
      <c r="S93" s="13"/>
      <c r="T93" s="254"/>
      <c r="U93" s="255"/>
      <c r="V93" s="562"/>
      <c r="W93" s="95"/>
      <c r="X93" s="13"/>
      <c r="Y93" s="254"/>
      <c r="Z93" s="255"/>
      <c r="AA93" s="562"/>
      <c r="AB93" s="95"/>
      <c r="AC93" s="13"/>
      <c r="AD93" s="254"/>
      <c r="AE93" s="255"/>
      <c r="AF93" s="644"/>
      <c r="AG93" s="198"/>
      <c r="AH93" s="199"/>
      <c r="AI93" s="200"/>
      <c r="AJ93" s="197"/>
      <c r="AK93" s="91"/>
      <c r="AL93"/>
      <c r="AM93"/>
      <c r="AN93"/>
      <c r="AO93"/>
      <c r="AP93"/>
      <c r="AQ93"/>
      <c r="AR93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86" s="1" customFormat="1" ht="18" hidden="1" customHeight="1" thickBot="1">
      <c r="A94" s="541"/>
      <c r="B94" s="645"/>
      <c r="C94" s="201"/>
      <c r="D94" s="202"/>
      <c r="E94" s="203"/>
      <c r="F94" s="204"/>
      <c r="G94" s="588"/>
      <c r="H94" s="95"/>
      <c r="I94" s="13"/>
      <c r="J94" s="254"/>
      <c r="K94" s="255"/>
      <c r="L94" s="563"/>
      <c r="M94" s="95"/>
      <c r="N94" s="13"/>
      <c r="O94" s="254"/>
      <c r="P94" s="255"/>
      <c r="Q94" s="563"/>
      <c r="R94" s="95"/>
      <c r="S94" s="13"/>
      <c r="T94" s="254"/>
      <c r="U94" s="255"/>
      <c r="V94" s="563"/>
      <c r="W94" s="95"/>
      <c r="X94" s="13"/>
      <c r="Y94" s="254"/>
      <c r="Z94" s="255"/>
      <c r="AA94" s="563"/>
      <c r="AB94" s="95"/>
      <c r="AC94" s="13"/>
      <c r="AD94" s="254"/>
      <c r="AE94" s="255"/>
      <c r="AF94" s="645"/>
      <c r="AG94" s="205"/>
      <c r="AH94" s="206"/>
      <c r="AI94" s="207"/>
      <c r="AJ94" s="204"/>
      <c r="AK94" s="91"/>
      <c r="AL94"/>
      <c r="AM94"/>
      <c r="AN94"/>
      <c r="AO94"/>
      <c r="AP94"/>
      <c r="AQ94"/>
      <c r="AR9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86" s="1" customFormat="1" ht="18" customHeight="1">
      <c r="A95" s="592" t="s">
        <v>52</v>
      </c>
      <c r="B95" s="643"/>
      <c r="C95" s="188"/>
      <c r="D95" s="188"/>
      <c r="E95" s="189"/>
      <c r="F95" s="37"/>
      <c r="G95" s="657" t="s">
        <v>370</v>
      </c>
      <c r="H95" s="368" t="s">
        <v>368</v>
      </c>
      <c r="I95" s="377"/>
      <c r="J95" s="378">
        <f>ROUND(20*J$2/1000,0)</f>
        <v>35</v>
      </c>
      <c r="K95" s="34" t="s">
        <v>0</v>
      </c>
      <c r="L95" s="567" t="s">
        <v>292</v>
      </c>
      <c r="M95" s="368" t="s">
        <v>367</v>
      </c>
      <c r="N95" s="377"/>
      <c r="O95" s="369">
        <f>ROUND(40*O$2/1000,0)</f>
        <v>67</v>
      </c>
      <c r="P95" s="223" t="s">
        <v>0</v>
      </c>
      <c r="Q95" s="567"/>
      <c r="R95" s="93"/>
      <c r="S95" s="9"/>
      <c r="T95" s="253"/>
      <c r="U95" s="223" t="s">
        <v>0</v>
      </c>
      <c r="V95" s="639" t="s">
        <v>371</v>
      </c>
      <c r="W95" s="93" t="s">
        <v>156</v>
      </c>
      <c r="X95" s="9"/>
      <c r="Y95" s="369">
        <f>ROUND(65*Y$2/1000,0)</f>
        <v>113</v>
      </c>
      <c r="Z95" s="223" t="s">
        <v>0</v>
      </c>
      <c r="AA95" s="639" t="s">
        <v>243</v>
      </c>
      <c r="AB95" s="93" t="s">
        <v>127</v>
      </c>
      <c r="AC95" s="9"/>
      <c r="AD95" s="253">
        <f>ROUND(60*AD$2/1000,0)</f>
        <v>105</v>
      </c>
      <c r="AE95" s="223" t="s">
        <v>0</v>
      </c>
      <c r="AF95" s="643"/>
      <c r="AG95" s="191"/>
      <c r="AH95" s="192"/>
      <c r="AI95" s="193"/>
      <c r="AJ95" s="190"/>
      <c r="AK95" s="91"/>
      <c r="AL95"/>
      <c r="AM95"/>
      <c r="AN95"/>
      <c r="AO95"/>
      <c r="AP95"/>
      <c r="AQ95"/>
      <c r="AR95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86" s="1" customFormat="1" ht="18" customHeight="1">
      <c r="A96" s="515"/>
      <c r="B96" s="649"/>
      <c r="C96" s="195"/>
      <c r="D96" s="195"/>
      <c r="E96" s="196"/>
      <c r="F96" s="199"/>
      <c r="G96" s="658"/>
      <c r="H96" s="413" t="s">
        <v>369</v>
      </c>
      <c r="I96" s="380"/>
      <c r="J96" s="374">
        <f>ROUND(7*J$2/1000,0)</f>
        <v>12</v>
      </c>
      <c r="K96" s="35" t="s">
        <v>0</v>
      </c>
      <c r="L96" s="568"/>
      <c r="M96" s="413" t="s">
        <v>8</v>
      </c>
      <c r="N96" s="380"/>
      <c r="O96" s="367">
        <f>ROUND(35*O$2/1000,0)</f>
        <v>59</v>
      </c>
      <c r="P96" s="255" t="s">
        <v>0</v>
      </c>
      <c r="Q96" s="568"/>
      <c r="R96" s="97"/>
      <c r="S96" s="13"/>
      <c r="T96" s="254"/>
      <c r="U96" s="255" t="s">
        <v>0</v>
      </c>
      <c r="V96" s="640"/>
      <c r="W96" s="413" t="s">
        <v>136</v>
      </c>
      <c r="X96" s="380"/>
      <c r="Y96" s="367">
        <f>ROUND(10*Y$2/1000,0)</f>
        <v>17</v>
      </c>
      <c r="Z96" s="418" t="s">
        <v>0</v>
      </c>
      <c r="AA96" s="640"/>
      <c r="AB96" s="97" t="s">
        <v>121</v>
      </c>
      <c r="AC96" s="13"/>
      <c r="AD96" s="254">
        <f>ROUND(10*AD$2/1000,0)</f>
        <v>17</v>
      </c>
      <c r="AE96" s="255" t="s">
        <v>0</v>
      </c>
      <c r="AF96" s="644"/>
      <c r="AG96" s="198"/>
      <c r="AH96" s="199"/>
      <c r="AI96" s="200"/>
      <c r="AJ96" s="197"/>
      <c r="AK96" s="91"/>
      <c r="AL96"/>
      <c r="AM96"/>
      <c r="AN96"/>
      <c r="AO96"/>
      <c r="AP96"/>
      <c r="AQ96"/>
      <c r="AR96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1:86" s="1" customFormat="1" ht="18" customHeight="1">
      <c r="A97" s="515"/>
      <c r="B97" s="649"/>
      <c r="C97" s="195"/>
      <c r="D97" s="195"/>
      <c r="E97" s="196"/>
      <c r="F97" s="199"/>
      <c r="G97" s="658"/>
      <c r="H97" s="413" t="s">
        <v>6</v>
      </c>
      <c r="I97" s="380"/>
      <c r="J97" s="374">
        <f>ROUND(8*J$2/1000,0)</f>
        <v>14</v>
      </c>
      <c r="K97" s="35" t="s">
        <v>0</v>
      </c>
      <c r="L97" s="568"/>
      <c r="M97" s="97" t="s">
        <v>83</v>
      </c>
      <c r="N97" s="13"/>
      <c r="O97" s="254">
        <f>ROUND(10*O$2/1000,0)</f>
        <v>17</v>
      </c>
      <c r="P97" s="255" t="s">
        <v>0</v>
      </c>
      <c r="Q97" s="568"/>
      <c r="R97" s="97"/>
      <c r="S97" s="13"/>
      <c r="T97" s="254"/>
      <c r="U97" s="255" t="s">
        <v>0</v>
      </c>
      <c r="V97" s="640"/>
      <c r="W97" s="98" t="s">
        <v>99</v>
      </c>
      <c r="X97" s="354" t="s">
        <v>97</v>
      </c>
      <c r="Y97" s="254">
        <v>0.6</v>
      </c>
      <c r="Z97" s="255" t="s">
        <v>0</v>
      </c>
      <c r="AA97" s="640"/>
      <c r="AB97" s="97" t="s">
        <v>6</v>
      </c>
      <c r="AC97" s="13"/>
      <c r="AD97" s="254">
        <f>ROUND(8*AD$2/1000,0)</f>
        <v>14</v>
      </c>
      <c r="AE97" s="255" t="s">
        <v>0</v>
      </c>
      <c r="AF97" s="644"/>
      <c r="AG97" s="198"/>
      <c r="AH97" s="199"/>
      <c r="AI97" s="200"/>
      <c r="AJ97" s="197"/>
      <c r="AK97" s="91"/>
      <c r="AL97"/>
      <c r="AM97"/>
      <c r="AN97"/>
      <c r="AO97"/>
      <c r="AP97"/>
      <c r="AQ97"/>
      <c r="AR97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1:86" s="1" customFormat="1" ht="18" customHeight="1">
      <c r="A98" s="515"/>
      <c r="B98" s="649"/>
      <c r="C98" s="195"/>
      <c r="D98" s="195"/>
      <c r="E98" s="196"/>
      <c r="F98" s="209"/>
      <c r="G98" s="658"/>
      <c r="H98" s="97"/>
      <c r="I98" s="13"/>
      <c r="J98" s="254"/>
      <c r="K98" s="255" t="s">
        <v>0</v>
      </c>
      <c r="L98" s="568"/>
      <c r="M98" s="97" t="s">
        <v>287</v>
      </c>
      <c r="N98" s="13"/>
      <c r="O98" s="254">
        <v>2</v>
      </c>
      <c r="P98" s="255" t="s">
        <v>0</v>
      </c>
      <c r="Q98" s="568"/>
      <c r="R98" s="97"/>
      <c r="S98" s="13"/>
      <c r="T98" s="254"/>
      <c r="U98" s="255" t="s">
        <v>0</v>
      </c>
      <c r="V98" s="640"/>
      <c r="W98" s="97" t="s">
        <v>199</v>
      </c>
      <c r="X98" s="13"/>
      <c r="Y98" s="254">
        <v>2</v>
      </c>
      <c r="Z98" s="263" t="s">
        <v>21</v>
      </c>
      <c r="AA98" s="640"/>
      <c r="AB98" s="319" t="s">
        <v>171</v>
      </c>
      <c r="AC98" s="113"/>
      <c r="AD98" s="256">
        <v>1</v>
      </c>
      <c r="AE98" s="260" t="s">
        <v>244</v>
      </c>
      <c r="AF98" s="644"/>
      <c r="AG98" s="198"/>
      <c r="AH98" s="199"/>
      <c r="AI98" s="200"/>
      <c r="AJ98" s="197"/>
      <c r="AK98" s="91"/>
      <c r="AL98"/>
      <c r="AM98"/>
      <c r="AN98"/>
      <c r="AO98"/>
      <c r="AP98"/>
      <c r="AQ98"/>
      <c r="AR98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1:86" s="1" customFormat="1" ht="18" customHeight="1">
      <c r="A99" s="515"/>
      <c r="B99" s="649"/>
      <c r="C99" s="195"/>
      <c r="D99" s="195"/>
      <c r="E99" s="196"/>
      <c r="F99" s="199"/>
      <c r="G99" s="658"/>
      <c r="H99" s="97"/>
      <c r="I99" s="13"/>
      <c r="J99" s="254"/>
      <c r="K99" s="255" t="s">
        <v>0</v>
      </c>
      <c r="L99" s="568"/>
      <c r="M99" s="97"/>
      <c r="N99" s="13"/>
      <c r="O99" s="254"/>
      <c r="P99" s="255" t="s">
        <v>0</v>
      </c>
      <c r="Q99" s="568"/>
      <c r="R99" s="97"/>
      <c r="S99" s="13"/>
      <c r="T99" s="254"/>
      <c r="U99" s="255" t="s">
        <v>0</v>
      </c>
      <c r="V99" s="640"/>
      <c r="W99" s="413" t="s">
        <v>344</v>
      </c>
      <c r="X99" s="13"/>
      <c r="Y99" s="367">
        <f>ROUND(5*Y$2/1000,0)</f>
        <v>9</v>
      </c>
      <c r="Z99" s="255" t="s">
        <v>0</v>
      </c>
      <c r="AA99" s="640"/>
      <c r="AB99" s="97"/>
      <c r="AC99" s="13"/>
      <c r="AD99" s="254"/>
      <c r="AE99" s="255" t="s">
        <v>0</v>
      </c>
      <c r="AF99" s="644"/>
      <c r="AG99" s="198"/>
      <c r="AH99" s="199"/>
      <c r="AI99" s="200"/>
      <c r="AJ99" s="197"/>
      <c r="AK99" s="91"/>
      <c r="AL99"/>
      <c r="AM99"/>
      <c r="AN99"/>
      <c r="AO99"/>
      <c r="AP99"/>
      <c r="AQ99"/>
      <c r="AR99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1:86" s="1" customFormat="1" ht="18" customHeight="1">
      <c r="A100" s="515"/>
      <c r="B100" s="649"/>
      <c r="C100" s="195"/>
      <c r="D100" s="195"/>
      <c r="E100" s="196"/>
      <c r="F100" s="209"/>
      <c r="G100" s="658"/>
      <c r="H100" s="97"/>
      <c r="I100" s="13"/>
      <c r="J100" s="254"/>
      <c r="K100" s="255" t="s">
        <v>0</v>
      </c>
      <c r="L100" s="568"/>
      <c r="M100" s="97"/>
      <c r="N100" s="13"/>
      <c r="O100" s="254"/>
      <c r="P100" s="255" t="s">
        <v>0</v>
      </c>
      <c r="Q100" s="568"/>
      <c r="R100" s="97"/>
      <c r="S100" s="13"/>
      <c r="T100" s="254"/>
      <c r="U100" s="255" t="s">
        <v>0</v>
      </c>
      <c r="V100" s="640"/>
      <c r="W100" s="97"/>
      <c r="X100" s="13"/>
      <c r="Y100" s="254"/>
      <c r="Z100" s="255" t="s">
        <v>0</v>
      </c>
      <c r="AA100" s="640"/>
      <c r="AB100" s="97"/>
      <c r="AC100" s="13"/>
      <c r="AD100" s="254"/>
      <c r="AE100" s="255" t="s">
        <v>0</v>
      </c>
      <c r="AF100" s="644"/>
      <c r="AG100" s="198"/>
      <c r="AH100" s="199"/>
      <c r="AI100" s="200"/>
      <c r="AJ100" s="197"/>
      <c r="AK100" s="91"/>
      <c r="AL100"/>
      <c r="AM100"/>
      <c r="AN100"/>
      <c r="AO100"/>
      <c r="AP100"/>
      <c r="AQ100"/>
      <c r="AR100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1:86" s="1" customFormat="1" ht="18" customHeight="1" thickBot="1">
      <c r="A101" s="515"/>
      <c r="B101" s="649"/>
      <c r="C101" s="195"/>
      <c r="D101" s="195"/>
      <c r="E101" s="196"/>
      <c r="F101" s="209"/>
      <c r="G101" s="658"/>
      <c r="H101" s="94"/>
      <c r="I101" s="14"/>
      <c r="J101" s="261"/>
      <c r="K101" s="257" t="s">
        <v>0</v>
      </c>
      <c r="L101" s="568"/>
      <c r="M101" s="94"/>
      <c r="N101" s="14"/>
      <c r="O101" s="261"/>
      <c r="P101" s="257" t="s">
        <v>0</v>
      </c>
      <c r="Q101" s="568"/>
      <c r="R101" s="94"/>
      <c r="S101" s="14"/>
      <c r="T101" s="261"/>
      <c r="U101" s="257" t="s">
        <v>0</v>
      </c>
      <c r="V101" s="640"/>
      <c r="W101" s="94"/>
      <c r="X101" s="14"/>
      <c r="Y101" s="261"/>
      <c r="Z101" s="257" t="s">
        <v>0</v>
      </c>
      <c r="AA101" s="640"/>
      <c r="AB101" s="94"/>
      <c r="AC101" s="14"/>
      <c r="AD101" s="261"/>
      <c r="AE101" s="257" t="s">
        <v>0</v>
      </c>
      <c r="AF101" s="644"/>
      <c r="AG101" s="198"/>
      <c r="AH101" s="199"/>
      <c r="AI101" s="200"/>
      <c r="AJ101" s="197"/>
      <c r="AK101" s="91"/>
      <c r="AL101"/>
      <c r="AM101"/>
      <c r="AN101"/>
      <c r="AO101"/>
      <c r="AP101"/>
      <c r="AQ101"/>
      <c r="AR101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1:86" s="1" customFormat="1" ht="18" hidden="1" customHeight="1" thickBot="1">
      <c r="A102" s="515"/>
      <c r="B102" s="649"/>
      <c r="C102" s="195"/>
      <c r="D102" s="195"/>
      <c r="E102" s="196"/>
      <c r="F102" s="209"/>
      <c r="G102" s="658"/>
      <c r="H102" s="95"/>
      <c r="I102" s="13"/>
      <c r="J102" s="254"/>
      <c r="K102" s="255" t="s">
        <v>0</v>
      </c>
      <c r="L102" s="568"/>
      <c r="M102" s="95"/>
      <c r="N102" s="13"/>
      <c r="O102" s="254"/>
      <c r="P102" s="255" t="s">
        <v>0</v>
      </c>
      <c r="Q102" s="568"/>
      <c r="R102" s="95"/>
      <c r="S102" s="13"/>
      <c r="T102" s="254"/>
      <c r="U102" s="255" t="s">
        <v>0</v>
      </c>
      <c r="V102" s="640"/>
      <c r="W102" s="95"/>
      <c r="X102" s="13"/>
      <c r="Y102" s="254"/>
      <c r="Z102" s="255" t="s">
        <v>0</v>
      </c>
      <c r="AA102" s="640"/>
      <c r="AB102" s="95"/>
      <c r="AC102" s="13"/>
      <c r="AD102" s="254"/>
      <c r="AE102" s="255" t="s">
        <v>0</v>
      </c>
      <c r="AF102" s="644"/>
      <c r="AG102" s="198"/>
      <c r="AH102" s="199"/>
      <c r="AI102" s="200"/>
      <c r="AJ102" s="197"/>
      <c r="AK102" s="91"/>
      <c r="AL102"/>
      <c r="AM102"/>
      <c r="AN102"/>
      <c r="AO102"/>
      <c r="AP102"/>
      <c r="AQ102"/>
      <c r="AR102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1:86" s="1" customFormat="1" ht="18" hidden="1" customHeight="1">
      <c r="A103" s="515"/>
      <c r="B103" s="649"/>
      <c r="C103" s="195"/>
      <c r="D103" s="195"/>
      <c r="E103" s="196"/>
      <c r="F103" s="209"/>
      <c r="G103" s="658"/>
      <c r="H103" s="95"/>
      <c r="I103" s="13"/>
      <c r="J103" s="254"/>
      <c r="K103" s="255" t="s">
        <v>0</v>
      </c>
      <c r="L103" s="568"/>
      <c r="M103" s="95"/>
      <c r="N103" s="13"/>
      <c r="O103" s="254"/>
      <c r="P103" s="255" t="s">
        <v>0</v>
      </c>
      <c r="Q103" s="568"/>
      <c r="R103" s="95"/>
      <c r="S103" s="13"/>
      <c r="T103" s="254"/>
      <c r="U103" s="255" t="s">
        <v>0</v>
      </c>
      <c r="V103" s="640"/>
      <c r="W103" s="95"/>
      <c r="X103" s="13"/>
      <c r="Y103" s="254"/>
      <c r="Z103" s="255" t="s">
        <v>0</v>
      </c>
      <c r="AA103" s="640"/>
      <c r="AB103" s="95"/>
      <c r="AC103" s="13"/>
      <c r="AD103" s="254"/>
      <c r="AE103" s="255" t="s">
        <v>0</v>
      </c>
      <c r="AF103" s="644"/>
      <c r="AG103" s="198"/>
      <c r="AH103" s="199"/>
      <c r="AI103" s="200"/>
      <c r="AJ103" s="197"/>
      <c r="AK103" s="91"/>
      <c r="AL103"/>
      <c r="AM103"/>
      <c r="AN103"/>
      <c r="AO103"/>
      <c r="AP103"/>
      <c r="AQ103"/>
      <c r="AR103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86" s="1" customFormat="1" ht="18" hidden="1" customHeight="1">
      <c r="A104" s="515"/>
      <c r="B104" s="649"/>
      <c r="C104" s="195"/>
      <c r="D104" s="195"/>
      <c r="E104" s="196"/>
      <c r="F104" s="209"/>
      <c r="G104" s="658"/>
      <c r="H104" s="95"/>
      <c r="I104" s="13"/>
      <c r="J104" s="254"/>
      <c r="K104" s="258"/>
      <c r="L104" s="568"/>
      <c r="M104" s="95"/>
      <c r="N104" s="13"/>
      <c r="O104" s="254"/>
      <c r="P104" s="258"/>
      <c r="Q104" s="568"/>
      <c r="R104" s="95"/>
      <c r="S104" s="13"/>
      <c r="T104" s="254"/>
      <c r="U104" s="258"/>
      <c r="V104" s="640"/>
      <c r="W104" s="95"/>
      <c r="X104" s="13"/>
      <c r="Y104" s="254"/>
      <c r="Z104" s="258"/>
      <c r="AA104" s="640"/>
      <c r="AB104" s="95"/>
      <c r="AC104" s="13"/>
      <c r="AD104" s="254"/>
      <c r="AE104" s="258"/>
      <c r="AF104" s="644"/>
      <c r="AG104" s="198"/>
      <c r="AH104" s="199"/>
      <c r="AI104" s="200"/>
      <c r="AJ104" s="197"/>
      <c r="AK104" s="91"/>
      <c r="AL104"/>
      <c r="AM104"/>
      <c r="AN104"/>
      <c r="AO104"/>
      <c r="AP104"/>
      <c r="AQ104"/>
      <c r="AR10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86" s="1" customFormat="1" ht="18" hidden="1" customHeight="1">
      <c r="A105" s="515"/>
      <c r="B105" s="649"/>
      <c r="C105" s="195"/>
      <c r="D105" s="195"/>
      <c r="E105" s="196"/>
      <c r="F105" s="209"/>
      <c r="G105" s="658"/>
      <c r="H105" s="95"/>
      <c r="I105" s="13"/>
      <c r="J105" s="254"/>
      <c r="K105" s="258"/>
      <c r="L105" s="568"/>
      <c r="M105" s="95"/>
      <c r="N105" s="13"/>
      <c r="O105" s="254"/>
      <c r="P105" s="258"/>
      <c r="Q105" s="568"/>
      <c r="R105" s="95"/>
      <c r="S105" s="13"/>
      <c r="T105" s="254"/>
      <c r="U105" s="258"/>
      <c r="V105" s="640"/>
      <c r="W105" s="95"/>
      <c r="X105" s="13"/>
      <c r="Y105" s="254"/>
      <c r="Z105" s="258"/>
      <c r="AA105" s="640"/>
      <c r="AB105" s="95"/>
      <c r="AC105" s="13"/>
      <c r="AD105" s="254"/>
      <c r="AE105" s="258"/>
      <c r="AF105" s="644"/>
      <c r="AG105" s="198"/>
      <c r="AH105" s="199"/>
      <c r="AI105" s="200"/>
      <c r="AJ105" s="197"/>
      <c r="AK105" s="91"/>
      <c r="AL105"/>
      <c r="AM105"/>
      <c r="AN105"/>
      <c r="AO105"/>
      <c r="AP105"/>
      <c r="AQ105"/>
      <c r="AR105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86" s="1" customFormat="1" ht="18" hidden="1" customHeight="1">
      <c r="A106" s="515"/>
      <c r="B106" s="649"/>
      <c r="C106" s="195"/>
      <c r="D106" s="195"/>
      <c r="E106" s="196"/>
      <c r="F106" s="209"/>
      <c r="G106" s="658"/>
      <c r="H106" s="95"/>
      <c r="I106" s="13"/>
      <c r="J106" s="254"/>
      <c r="K106" s="258"/>
      <c r="L106" s="568"/>
      <c r="M106" s="95"/>
      <c r="N106" s="13"/>
      <c r="O106" s="254"/>
      <c r="P106" s="258"/>
      <c r="Q106" s="568"/>
      <c r="R106" s="95"/>
      <c r="S106" s="13"/>
      <c r="T106" s="254"/>
      <c r="U106" s="258"/>
      <c r="V106" s="640"/>
      <c r="W106" s="95"/>
      <c r="X106" s="13"/>
      <c r="Y106" s="254"/>
      <c r="Z106" s="258"/>
      <c r="AA106" s="640"/>
      <c r="AB106" s="95"/>
      <c r="AC106" s="13"/>
      <c r="AD106" s="254"/>
      <c r="AE106" s="258"/>
      <c r="AF106" s="644"/>
      <c r="AG106" s="198"/>
      <c r="AH106" s="199"/>
      <c r="AI106" s="200"/>
      <c r="AJ106" s="197"/>
      <c r="AK106" s="91"/>
      <c r="AL106"/>
      <c r="AM106"/>
      <c r="AN106"/>
      <c r="AO106"/>
      <c r="AP106"/>
      <c r="AQ106"/>
      <c r="AR106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86" s="1" customFormat="1" ht="18" hidden="1" customHeight="1">
      <c r="A107" s="515"/>
      <c r="B107" s="649"/>
      <c r="C107" s="195"/>
      <c r="D107" s="195"/>
      <c r="E107" s="196"/>
      <c r="F107" s="209"/>
      <c r="G107" s="658"/>
      <c r="H107" s="95"/>
      <c r="I107" s="13"/>
      <c r="J107" s="254"/>
      <c r="K107" s="258"/>
      <c r="L107" s="568"/>
      <c r="M107" s="95"/>
      <c r="N107" s="13"/>
      <c r="O107" s="254"/>
      <c r="P107" s="258"/>
      <c r="Q107" s="568"/>
      <c r="R107" s="95"/>
      <c r="S107" s="13"/>
      <c r="T107" s="254"/>
      <c r="U107" s="258"/>
      <c r="V107" s="640"/>
      <c r="W107" s="95"/>
      <c r="X107" s="13"/>
      <c r="Y107" s="254"/>
      <c r="Z107" s="258"/>
      <c r="AA107" s="640"/>
      <c r="AB107" s="95"/>
      <c r="AC107" s="13"/>
      <c r="AD107" s="254"/>
      <c r="AE107" s="258"/>
      <c r="AF107" s="644"/>
      <c r="AG107" s="198"/>
      <c r="AH107" s="199"/>
      <c r="AI107" s="200"/>
      <c r="AJ107" s="197"/>
      <c r="AK107" s="91"/>
      <c r="AL107"/>
      <c r="AM107"/>
      <c r="AN107"/>
      <c r="AO107"/>
      <c r="AP107"/>
      <c r="AQ107"/>
      <c r="AR107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86" s="1" customFormat="1" ht="18" hidden="1" customHeight="1">
      <c r="A108" s="515"/>
      <c r="B108" s="649"/>
      <c r="C108" s="195"/>
      <c r="D108" s="195"/>
      <c r="E108" s="196"/>
      <c r="F108" s="209"/>
      <c r="G108" s="658"/>
      <c r="H108" s="95"/>
      <c r="I108" s="13"/>
      <c r="J108" s="254"/>
      <c r="K108" s="258"/>
      <c r="L108" s="568"/>
      <c r="M108" s="95"/>
      <c r="N108" s="13"/>
      <c r="O108" s="254"/>
      <c r="P108" s="258"/>
      <c r="Q108" s="568"/>
      <c r="R108" s="95"/>
      <c r="S108" s="13"/>
      <c r="T108" s="254"/>
      <c r="U108" s="258"/>
      <c r="V108" s="640"/>
      <c r="W108" s="95"/>
      <c r="X108" s="13"/>
      <c r="Y108" s="254"/>
      <c r="Z108" s="258"/>
      <c r="AA108" s="640"/>
      <c r="AB108" s="95"/>
      <c r="AC108" s="13"/>
      <c r="AD108" s="254"/>
      <c r="AE108" s="258"/>
      <c r="AF108" s="644"/>
      <c r="AG108" s="198"/>
      <c r="AH108" s="199"/>
      <c r="AI108" s="200"/>
      <c r="AJ108" s="197"/>
      <c r="AK108" s="91"/>
      <c r="AL108"/>
      <c r="AM108"/>
      <c r="AN108"/>
      <c r="AO108"/>
      <c r="AP108"/>
      <c r="AQ108"/>
      <c r="AR108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86" s="1" customFormat="1" ht="18" hidden="1" customHeight="1">
      <c r="A109" s="593"/>
      <c r="B109" s="650"/>
      <c r="C109" s="202"/>
      <c r="D109" s="202"/>
      <c r="E109" s="203"/>
      <c r="F109" s="211"/>
      <c r="G109" s="659"/>
      <c r="H109" s="95"/>
      <c r="I109" s="13"/>
      <c r="J109" s="254"/>
      <c r="K109" s="259"/>
      <c r="L109" s="569"/>
      <c r="M109" s="95"/>
      <c r="N109" s="13"/>
      <c r="O109" s="254"/>
      <c r="P109" s="259"/>
      <c r="Q109" s="569"/>
      <c r="R109" s="95"/>
      <c r="S109" s="13"/>
      <c r="T109" s="254"/>
      <c r="U109" s="259"/>
      <c r="V109" s="641"/>
      <c r="W109" s="95"/>
      <c r="X109" s="13"/>
      <c r="Y109" s="254"/>
      <c r="Z109" s="259"/>
      <c r="AA109" s="641"/>
      <c r="AB109" s="95"/>
      <c r="AC109" s="13"/>
      <c r="AD109" s="254"/>
      <c r="AE109" s="259"/>
      <c r="AF109" s="645"/>
      <c r="AG109" s="205"/>
      <c r="AH109" s="206"/>
      <c r="AI109" s="207"/>
      <c r="AJ109" s="204"/>
      <c r="AK109" s="91"/>
      <c r="AL109"/>
      <c r="AM109"/>
      <c r="AN109"/>
      <c r="AO109"/>
      <c r="AP109"/>
      <c r="AQ109"/>
      <c r="AR109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86" s="1" customFormat="1" ht="18" customHeight="1">
      <c r="A110" s="592" t="s">
        <v>53</v>
      </c>
      <c r="B110" s="643"/>
      <c r="C110" s="187"/>
      <c r="D110" s="188"/>
      <c r="E110" s="189"/>
      <c r="F110" s="190"/>
      <c r="G110" s="594" t="s">
        <v>366</v>
      </c>
      <c r="H110" s="387" t="s">
        <v>364</v>
      </c>
      <c r="I110" s="388"/>
      <c r="J110" s="372">
        <f>ROUND(60*J$267/1000,0)</f>
        <v>35</v>
      </c>
      <c r="K110" s="122" t="s">
        <v>5</v>
      </c>
      <c r="L110" s="597" t="s">
        <v>261</v>
      </c>
      <c r="M110" s="120" t="s">
        <v>277</v>
      </c>
      <c r="N110" s="123" t="s">
        <v>278</v>
      </c>
      <c r="O110" s="121">
        <f>ROUND(40*O$267/1000,0)</f>
        <v>24</v>
      </c>
      <c r="P110" s="122" t="s">
        <v>5</v>
      </c>
      <c r="Q110" s="594" t="s">
        <v>350</v>
      </c>
      <c r="R110" s="423" t="s">
        <v>353</v>
      </c>
      <c r="S110" s="123"/>
      <c r="T110" s="372">
        <f>ROUND(55*T$267/1000,0)</f>
        <v>32</v>
      </c>
      <c r="U110" s="122" t="s">
        <v>5</v>
      </c>
      <c r="V110" s="597" t="s">
        <v>260</v>
      </c>
      <c r="W110" s="120" t="s">
        <v>83</v>
      </c>
      <c r="X110" s="123"/>
      <c r="Y110" s="121">
        <f>ROUND(30*Y$267/1000,0)</f>
        <v>18</v>
      </c>
      <c r="Z110" s="122" t="s">
        <v>5</v>
      </c>
      <c r="AA110" s="594" t="s">
        <v>349</v>
      </c>
      <c r="AB110" s="387" t="s">
        <v>346</v>
      </c>
      <c r="AC110" s="388"/>
      <c r="AD110" s="372">
        <f>ROUND(50*AD$267/1000,0)</f>
        <v>30</v>
      </c>
      <c r="AE110" s="421" t="s">
        <v>5</v>
      </c>
      <c r="AF110" s="616"/>
      <c r="AG110" s="97"/>
      <c r="AH110" s="95"/>
      <c r="AI110" s="56"/>
      <c r="AJ110" s="34"/>
      <c r="AK110" s="91"/>
      <c r="AL110"/>
      <c r="AM110"/>
      <c r="AN110"/>
      <c r="AO110"/>
      <c r="AP110"/>
      <c r="AQ110"/>
      <c r="AR110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86" s="1" customFormat="1" ht="18" customHeight="1">
      <c r="A111" s="515"/>
      <c r="B111" s="644"/>
      <c r="C111" s="194"/>
      <c r="D111" s="195"/>
      <c r="E111" s="196"/>
      <c r="F111" s="197"/>
      <c r="G111" s="595"/>
      <c r="H111" s="370" t="s">
        <v>142</v>
      </c>
      <c r="I111" s="389"/>
      <c r="J111" s="371">
        <f>ROUND(10*J$267/1000,0)</f>
        <v>6</v>
      </c>
      <c r="K111" s="127" t="s">
        <v>5</v>
      </c>
      <c r="L111" s="598"/>
      <c r="M111" s="124" t="s">
        <v>6</v>
      </c>
      <c r="N111" s="128"/>
      <c r="O111" s="126">
        <f>ROUND(10*O$267/1000,0)</f>
        <v>6</v>
      </c>
      <c r="P111" s="127" t="s">
        <v>5</v>
      </c>
      <c r="Q111" s="595"/>
      <c r="R111" s="424" t="s">
        <v>83</v>
      </c>
      <c r="S111" s="128"/>
      <c r="T111" s="371">
        <f>ROUND(10*T$267/1000,0)</f>
        <v>6</v>
      </c>
      <c r="U111" s="127" t="s">
        <v>5</v>
      </c>
      <c r="V111" s="598"/>
      <c r="W111" s="124" t="s">
        <v>121</v>
      </c>
      <c r="X111" s="128"/>
      <c r="Y111" s="126">
        <f>MROUND(10*Y$267/1000,3)</f>
        <v>6</v>
      </c>
      <c r="Z111" s="127" t="s">
        <v>5</v>
      </c>
      <c r="AA111" s="595"/>
      <c r="AB111" s="370" t="s">
        <v>6</v>
      </c>
      <c r="AC111" s="389"/>
      <c r="AD111" s="371">
        <f>ROUND(5*AD$267/1000,0)</f>
        <v>3</v>
      </c>
      <c r="AE111" s="422" t="s">
        <v>5</v>
      </c>
      <c r="AF111" s="617"/>
      <c r="AG111" s="97"/>
      <c r="AH111" s="95"/>
      <c r="AI111" s="57"/>
      <c r="AJ111" s="58"/>
      <c r="AK111" s="91"/>
      <c r="AL111"/>
      <c r="AM111"/>
      <c r="AN111"/>
      <c r="AO111"/>
      <c r="AP111"/>
      <c r="AQ111"/>
      <c r="AR111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86" s="1" customFormat="1" ht="18" customHeight="1">
      <c r="A112" s="515"/>
      <c r="B112" s="644"/>
      <c r="C112" s="194"/>
      <c r="D112" s="195"/>
      <c r="E112" s="196"/>
      <c r="F112" s="197"/>
      <c r="G112" s="595"/>
      <c r="H112" s="442" t="s">
        <v>365</v>
      </c>
      <c r="I112" s="443"/>
      <c r="J112" s="444">
        <v>1</v>
      </c>
      <c r="K112" s="445" t="s">
        <v>183</v>
      </c>
      <c r="L112" s="598"/>
      <c r="M112" s="124" t="s">
        <v>124</v>
      </c>
      <c r="N112" s="128"/>
      <c r="O112" s="126">
        <f>ROUND(20*O$267/1000,0)</f>
        <v>12</v>
      </c>
      <c r="P112" s="127" t="s">
        <v>5</v>
      </c>
      <c r="Q112" s="595"/>
      <c r="R112" s="424" t="s">
        <v>351</v>
      </c>
      <c r="S112" s="128"/>
      <c r="T112" s="371">
        <f>ROUND(10*T$267/1000,0)</f>
        <v>6</v>
      </c>
      <c r="U112" s="127" t="s">
        <v>5</v>
      </c>
      <c r="V112" s="598"/>
      <c r="W112" s="124" t="s">
        <v>279</v>
      </c>
      <c r="X112" s="128"/>
      <c r="Y112" s="126">
        <f>ROUND(30*Y$267/1000,0)</f>
        <v>18</v>
      </c>
      <c r="Z112" s="127" t="s">
        <v>5</v>
      </c>
      <c r="AA112" s="595"/>
      <c r="AB112" s="370" t="s">
        <v>131</v>
      </c>
      <c r="AC112" s="389"/>
      <c r="AD112" s="371">
        <f>ROUND(5*AD$267/1000,0)</f>
        <v>3</v>
      </c>
      <c r="AE112" s="422" t="s">
        <v>5</v>
      </c>
      <c r="AF112" s="617"/>
      <c r="AG112" s="97"/>
      <c r="AH112" s="95"/>
      <c r="AI112" s="57"/>
      <c r="AJ112" s="58"/>
      <c r="AK112" s="91"/>
      <c r="AL112"/>
      <c r="AM112"/>
      <c r="AN112"/>
      <c r="AO112"/>
      <c r="AP112"/>
      <c r="AQ112"/>
      <c r="AR112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1:86" s="1" customFormat="1" ht="18" customHeight="1">
      <c r="A113" s="515"/>
      <c r="B113" s="644"/>
      <c r="C113" s="194"/>
      <c r="D113" s="195"/>
      <c r="E113" s="196"/>
      <c r="F113" s="197"/>
      <c r="G113" s="595"/>
      <c r="H113" s="124"/>
      <c r="I113" s="128"/>
      <c r="J113" s="126"/>
      <c r="K113" s="127" t="s">
        <v>5</v>
      </c>
      <c r="L113" s="598"/>
      <c r="M113" s="124"/>
      <c r="N113" s="128"/>
      <c r="O113" s="126"/>
      <c r="P113" s="127" t="s">
        <v>5</v>
      </c>
      <c r="Q113" s="595"/>
      <c r="R113" s="424" t="s">
        <v>352</v>
      </c>
      <c r="S113" s="128"/>
      <c r="T113" s="371">
        <f>ROUND(5*T$267/1000,0)</f>
        <v>3</v>
      </c>
      <c r="U113" s="127" t="s">
        <v>5</v>
      </c>
      <c r="V113" s="598"/>
      <c r="W113" s="124"/>
      <c r="X113" s="128"/>
      <c r="Y113" s="126"/>
      <c r="Z113" s="127" t="s">
        <v>5</v>
      </c>
      <c r="AA113" s="595"/>
      <c r="AB113" s="370" t="s">
        <v>347</v>
      </c>
      <c r="AC113" s="389"/>
      <c r="AD113" s="371">
        <f>ROUND(10*AD$267/1000,0)</f>
        <v>6</v>
      </c>
      <c r="AE113" s="422" t="s">
        <v>5</v>
      </c>
      <c r="AF113" s="617"/>
      <c r="AG113" s="97"/>
      <c r="AH113" s="95"/>
      <c r="AI113" s="57"/>
      <c r="AJ113" s="58"/>
      <c r="AK113" s="91"/>
      <c r="AL113"/>
      <c r="AM113"/>
      <c r="AN113"/>
      <c r="AO113"/>
      <c r="AP113"/>
      <c r="AQ113"/>
      <c r="AR113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1:86" s="1" customFormat="1" ht="18" customHeight="1">
      <c r="A114" s="515"/>
      <c r="B114" s="644"/>
      <c r="C114" s="194"/>
      <c r="D114" s="195"/>
      <c r="E114" s="196"/>
      <c r="F114" s="197"/>
      <c r="G114" s="595"/>
      <c r="H114" s="124"/>
      <c r="I114" s="128"/>
      <c r="J114" s="126"/>
      <c r="K114" s="127" t="s">
        <v>5</v>
      </c>
      <c r="L114" s="598"/>
      <c r="M114" s="124"/>
      <c r="N114" s="128"/>
      <c r="O114" s="126"/>
      <c r="P114" s="127" t="s">
        <v>5</v>
      </c>
      <c r="Q114" s="595"/>
      <c r="R114" s="124"/>
      <c r="S114" s="128"/>
      <c r="T114" s="126"/>
      <c r="U114" s="127" t="s">
        <v>5</v>
      </c>
      <c r="V114" s="598"/>
      <c r="W114" s="124"/>
      <c r="X114" s="128"/>
      <c r="Y114" s="126"/>
      <c r="Z114" s="127" t="s">
        <v>5</v>
      </c>
      <c r="AA114" s="595"/>
      <c r="AB114" s="370" t="s">
        <v>348</v>
      </c>
      <c r="AC114" s="389"/>
      <c r="AD114" s="371">
        <f>ROUND(10*AD$267/1000,0)</f>
        <v>6</v>
      </c>
      <c r="AE114" s="422" t="s">
        <v>5</v>
      </c>
      <c r="AF114" s="617"/>
      <c r="AG114" s="97"/>
      <c r="AH114" s="95"/>
      <c r="AI114" s="57"/>
      <c r="AJ114" s="58"/>
      <c r="AK114" s="91"/>
      <c r="AL114"/>
      <c r="AM114"/>
      <c r="AN114"/>
      <c r="AO114"/>
      <c r="AP114"/>
      <c r="AQ114"/>
      <c r="AR11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1:86" s="1" customFormat="1" ht="18" customHeight="1">
      <c r="A115" s="515"/>
      <c r="B115" s="644"/>
      <c r="C115" s="194"/>
      <c r="D115" s="195"/>
      <c r="E115" s="196"/>
      <c r="F115" s="197"/>
      <c r="G115" s="595"/>
      <c r="H115" s="124"/>
      <c r="I115" s="128"/>
      <c r="J115" s="126"/>
      <c r="K115" s="127" t="s">
        <v>5</v>
      </c>
      <c r="L115" s="598"/>
      <c r="M115" s="124"/>
      <c r="N115" s="128"/>
      <c r="O115" s="126"/>
      <c r="P115" s="127" t="s">
        <v>5</v>
      </c>
      <c r="Q115" s="595"/>
      <c r="R115" s="124"/>
      <c r="S115" s="128"/>
      <c r="T115" s="126"/>
      <c r="U115" s="127" t="s">
        <v>5</v>
      </c>
      <c r="V115" s="598"/>
      <c r="W115" s="124"/>
      <c r="X115" s="128"/>
      <c r="Y115" s="126"/>
      <c r="Z115" s="127" t="s">
        <v>5</v>
      </c>
      <c r="AA115" s="595"/>
      <c r="AB115" s="370"/>
      <c r="AC115" s="389"/>
      <c r="AD115" s="371"/>
      <c r="AE115" s="422" t="s">
        <v>5</v>
      </c>
      <c r="AF115" s="617"/>
      <c r="AG115" s="97"/>
      <c r="AH115" s="95"/>
      <c r="AI115" s="57"/>
      <c r="AJ115" s="58"/>
      <c r="AK115" s="91"/>
      <c r="AL115"/>
      <c r="AM115"/>
      <c r="AN115"/>
      <c r="AO115"/>
      <c r="AP115"/>
      <c r="AQ115"/>
      <c r="AR115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1:86" s="1" customFormat="1" ht="18" customHeight="1" thickBot="1">
      <c r="A116" s="515"/>
      <c r="B116" s="644"/>
      <c r="C116" s="194"/>
      <c r="D116" s="195"/>
      <c r="E116" s="196"/>
      <c r="F116" s="197"/>
      <c r="G116" s="595"/>
      <c r="H116" s="129"/>
      <c r="I116" s="132"/>
      <c r="J116" s="126"/>
      <c r="K116" s="127" t="s">
        <v>5</v>
      </c>
      <c r="L116" s="598"/>
      <c r="M116" s="129"/>
      <c r="N116" s="132"/>
      <c r="O116" s="126"/>
      <c r="P116" s="127" t="s">
        <v>5</v>
      </c>
      <c r="Q116" s="595"/>
      <c r="R116" s="129"/>
      <c r="S116" s="132"/>
      <c r="T116" s="126"/>
      <c r="U116" s="127" t="s">
        <v>5</v>
      </c>
      <c r="V116" s="598"/>
      <c r="W116" s="129"/>
      <c r="X116" s="132"/>
      <c r="Y116" s="126"/>
      <c r="Z116" s="127" t="s">
        <v>5</v>
      </c>
      <c r="AA116" s="595"/>
      <c r="AB116" s="390"/>
      <c r="AC116" s="391"/>
      <c r="AD116" s="371"/>
      <c r="AE116" s="422" t="s">
        <v>5</v>
      </c>
      <c r="AF116" s="617"/>
      <c r="AG116" s="94"/>
      <c r="AH116" s="96"/>
      <c r="AI116" s="210"/>
      <c r="AJ116" s="103"/>
      <c r="AK116" s="91"/>
      <c r="AL116"/>
      <c r="AM116"/>
      <c r="AN116"/>
      <c r="AO116"/>
      <c r="AP116"/>
      <c r="AQ116"/>
      <c r="AR116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1:86" s="1" customFormat="1" ht="18" hidden="1" customHeight="1" thickBot="1">
      <c r="A117" s="515"/>
      <c r="B117" s="644"/>
      <c r="C117" s="194"/>
      <c r="D117" s="195"/>
      <c r="E117" s="196"/>
      <c r="F117" s="197"/>
      <c r="G117" s="595"/>
      <c r="H117" s="226"/>
      <c r="I117" s="128"/>
      <c r="J117" s="126"/>
      <c r="K117" s="127"/>
      <c r="L117" s="598"/>
      <c r="M117" s="226"/>
      <c r="N117" s="128"/>
      <c r="O117" s="126"/>
      <c r="P117" s="127"/>
      <c r="Q117" s="595"/>
      <c r="R117" s="226"/>
      <c r="S117" s="128"/>
      <c r="T117" s="126"/>
      <c r="U117" s="127"/>
      <c r="V117" s="598"/>
      <c r="W117" s="226"/>
      <c r="X117" s="128"/>
      <c r="Y117" s="126"/>
      <c r="Z117" s="127"/>
      <c r="AA117" s="595"/>
      <c r="AB117" s="226"/>
      <c r="AC117" s="128"/>
      <c r="AD117" s="126"/>
      <c r="AE117" s="127"/>
      <c r="AF117" s="617"/>
      <c r="AG117" s="95"/>
      <c r="AH117" s="95"/>
      <c r="AI117" s="57"/>
      <c r="AJ117" s="58"/>
      <c r="AK117" s="91"/>
      <c r="AL117"/>
      <c r="AM117"/>
      <c r="AN117"/>
      <c r="AO117"/>
      <c r="AP117"/>
      <c r="AQ117"/>
      <c r="AR117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1:86" s="1" customFormat="1" ht="18" hidden="1" customHeight="1">
      <c r="A118" s="515"/>
      <c r="B118" s="644"/>
      <c r="C118" s="194"/>
      <c r="D118" s="195"/>
      <c r="E118" s="196"/>
      <c r="F118" s="197"/>
      <c r="G118" s="595"/>
      <c r="H118" s="226"/>
      <c r="I118" s="128"/>
      <c r="J118" s="126"/>
      <c r="K118" s="127"/>
      <c r="L118" s="598"/>
      <c r="M118" s="226"/>
      <c r="N118" s="128"/>
      <c r="O118" s="126"/>
      <c r="P118" s="127"/>
      <c r="Q118" s="595"/>
      <c r="R118" s="226"/>
      <c r="S118" s="128"/>
      <c r="T118" s="126"/>
      <c r="U118" s="127"/>
      <c r="V118" s="598"/>
      <c r="W118" s="226"/>
      <c r="X118" s="128"/>
      <c r="Y118" s="126"/>
      <c r="Z118" s="127"/>
      <c r="AA118" s="595"/>
      <c r="AB118" s="226"/>
      <c r="AC118" s="128"/>
      <c r="AD118" s="126"/>
      <c r="AE118" s="127"/>
      <c r="AF118" s="617"/>
      <c r="AG118" s="95"/>
      <c r="AH118" s="95"/>
      <c r="AI118" s="57"/>
      <c r="AJ118" s="58"/>
      <c r="AK118" s="91"/>
      <c r="AL118"/>
      <c r="AM118"/>
      <c r="AN118"/>
      <c r="AO118"/>
      <c r="AP118"/>
      <c r="AQ118"/>
      <c r="AR118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1:86" s="1" customFormat="1" ht="18" hidden="1" customHeight="1">
      <c r="A119" s="515"/>
      <c r="B119" s="644"/>
      <c r="C119" s="194"/>
      <c r="D119" s="195"/>
      <c r="E119" s="196"/>
      <c r="F119" s="197"/>
      <c r="G119" s="595"/>
      <c r="H119" s="226"/>
      <c r="I119" s="128"/>
      <c r="J119" s="126"/>
      <c r="K119" s="133"/>
      <c r="L119" s="598"/>
      <c r="M119" s="226"/>
      <c r="N119" s="128"/>
      <c r="O119" s="126"/>
      <c r="P119" s="133"/>
      <c r="Q119" s="595"/>
      <c r="R119" s="226"/>
      <c r="S119" s="128"/>
      <c r="T119" s="126"/>
      <c r="U119" s="133"/>
      <c r="V119" s="598"/>
      <c r="W119" s="226"/>
      <c r="X119" s="128"/>
      <c r="Y119" s="126"/>
      <c r="Z119" s="133"/>
      <c r="AA119" s="595"/>
      <c r="AB119" s="226"/>
      <c r="AC119" s="128"/>
      <c r="AD119" s="126"/>
      <c r="AE119" s="133"/>
      <c r="AF119" s="617"/>
      <c r="AG119" s="95"/>
      <c r="AH119" s="95"/>
      <c r="AI119" s="57"/>
      <c r="AJ119" s="104"/>
      <c r="AK119" s="91"/>
      <c r="AL119"/>
      <c r="AM119"/>
      <c r="AN119"/>
      <c r="AO119"/>
      <c r="AP119"/>
      <c r="AQ119"/>
      <c r="AR119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1:86" s="1" customFormat="1" ht="18" hidden="1" customHeight="1">
      <c r="A120" s="515"/>
      <c r="B120" s="644"/>
      <c r="C120" s="194"/>
      <c r="D120" s="195"/>
      <c r="E120" s="196"/>
      <c r="F120" s="197"/>
      <c r="G120" s="595"/>
      <c r="H120" s="226"/>
      <c r="I120" s="128"/>
      <c r="J120" s="126"/>
      <c r="K120" s="133"/>
      <c r="L120" s="598"/>
      <c r="M120" s="226"/>
      <c r="N120" s="128"/>
      <c r="O120" s="126"/>
      <c r="P120" s="133"/>
      <c r="Q120" s="595"/>
      <c r="R120" s="226"/>
      <c r="S120" s="128"/>
      <c r="T120" s="126"/>
      <c r="U120" s="133"/>
      <c r="V120" s="598"/>
      <c r="W120" s="226"/>
      <c r="X120" s="128"/>
      <c r="Y120" s="126"/>
      <c r="Z120" s="133"/>
      <c r="AA120" s="595"/>
      <c r="AB120" s="226"/>
      <c r="AC120" s="128"/>
      <c r="AD120" s="126"/>
      <c r="AE120" s="133"/>
      <c r="AF120" s="617"/>
      <c r="AG120" s="95"/>
      <c r="AH120" s="95"/>
      <c r="AI120" s="57"/>
      <c r="AJ120" s="104"/>
      <c r="AK120" s="91"/>
      <c r="AL120"/>
      <c r="AM120"/>
      <c r="AN120"/>
      <c r="AO120"/>
      <c r="AP120"/>
      <c r="AQ120"/>
      <c r="AR120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1:86" s="1" customFormat="1" ht="18" hidden="1" customHeight="1">
      <c r="A121" s="515"/>
      <c r="B121" s="644"/>
      <c r="C121" s="194"/>
      <c r="D121" s="195"/>
      <c r="E121" s="196"/>
      <c r="F121" s="197"/>
      <c r="G121" s="595"/>
      <c r="H121" s="226"/>
      <c r="I121" s="128"/>
      <c r="J121" s="126"/>
      <c r="K121" s="133"/>
      <c r="L121" s="598"/>
      <c r="M121" s="226"/>
      <c r="N121" s="128"/>
      <c r="O121" s="126"/>
      <c r="P121" s="133"/>
      <c r="Q121" s="595"/>
      <c r="R121" s="226"/>
      <c r="S121" s="128"/>
      <c r="T121" s="126"/>
      <c r="U121" s="133"/>
      <c r="V121" s="598"/>
      <c r="W121" s="226"/>
      <c r="X121" s="128"/>
      <c r="Y121" s="126"/>
      <c r="Z121" s="133"/>
      <c r="AA121" s="595"/>
      <c r="AB121" s="226"/>
      <c r="AC121" s="128"/>
      <c r="AD121" s="126"/>
      <c r="AE121" s="133"/>
      <c r="AF121" s="617"/>
      <c r="AG121" s="95"/>
      <c r="AH121" s="95"/>
      <c r="AI121" s="57"/>
      <c r="AJ121" s="104"/>
      <c r="AK121" s="91"/>
      <c r="AL121"/>
      <c r="AM121"/>
      <c r="AN121"/>
      <c r="AO121"/>
      <c r="AP121"/>
      <c r="AQ121"/>
      <c r="AR121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1:86" s="1" customFormat="1" ht="18" hidden="1" customHeight="1">
      <c r="A122" s="515"/>
      <c r="B122" s="644"/>
      <c r="C122" s="194"/>
      <c r="D122" s="195"/>
      <c r="E122" s="196"/>
      <c r="F122" s="197"/>
      <c r="G122" s="595"/>
      <c r="H122" s="226"/>
      <c r="I122" s="128"/>
      <c r="J122" s="126"/>
      <c r="K122" s="133"/>
      <c r="L122" s="598"/>
      <c r="M122" s="226"/>
      <c r="N122" s="128"/>
      <c r="O122" s="126"/>
      <c r="P122" s="133"/>
      <c r="Q122" s="595"/>
      <c r="R122" s="226"/>
      <c r="S122" s="128"/>
      <c r="T122" s="126"/>
      <c r="U122" s="133"/>
      <c r="V122" s="598"/>
      <c r="W122" s="226"/>
      <c r="X122" s="128"/>
      <c r="Y122" s="126"/>
      <c r="Z122" s="133"/>
      <c r="AA122" s="595"/>
      <c r="AB122" s="226"/>
      <c r="AC122" s="128"/>
      <c r="AD122" s="126"/>
      <c r="AE122" s="133"/>
      <c r="AF122" s="617"/>
      <c r="AG122" s="95"/>
      <c r="AH122" s="95"/>
      <c r="AI122" s="57"/>
      <c r="AJ122" s="104"/>
      <c r="AK122" s="91"/>
      <c r="AL122"/>
      <c r="AM122"/>
      <c r="AN122"/>
      <c r="AO122"/>
      <c r="AP122"/>
      <c r="AQ122"/>
      <c r="AR122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1:86" s="1" customFormat="1" ht="18" hidden="1" customHeight="1">
      <c r="A123" s="515"/>
      <c r="B123" s="644"/>
      <c r="C123" s="194"/>
      <c r="D123" s="195"/>
      <c r="E123" s="196"/>
      <c r="F123" s="197"/>
      <c r="G123" s="595"/>
      <c r="H123" s="226"/>
      <c r="I123" s="128"/>
      <c r="J123" s="126"/>
      <c r="K123" s="133"/>
      <c r="L123" s="598"/>
      <c r="M123" s="226"/>
      <c r="N123" s="128"/>
      <c r="O123" s="126"/>
      <c r="P123" s="133"/>
      <c r="Q123" s="595"/>
      <c r="R123" s="226"/>
      <c r="S123" s="128"/>
      <c r="T123" s="126"/>
      <c r="U123" s="133"/>
      <c r="V123" s="598"/>
      <c r="W123" s="226"/>
      <c r="X123" s="128"/>
      <c r="Y123" s="126"/>
      <c r="Z123" s="133"/>
      <c r="AA123" s="595"/>
      <c r="AB123" s="226"/>
      <c r="AC123" s="128"/>
      <c r="AD123" s="126"/>
      <c r="AE123" s="133"/>
      <c r="AF123" s="617"/>
      <c r="AG123" s="95"/>
      <c r="AH123" s="95"/>
      <c r="AI123" s="57"/>
      <c r="AJ123" s="104"/>
      <c r="AK123" s="91"/>
      <c r="AL123"/>
      <c r="AM123"/>
      <c r="AN123"/>
      <c r="AO123"/>
      <c r="AP123"/>
      <c r="AQ123"/>
      <c r="AR123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1:86" s="1" customFormat="1" ht="18" hidden="1" customHeight="1">
      <c r="A124" s="593"/>
      <c r="B124" s="645"/>
      <c r="C124" s="201"/>
      <c r="D124" s="202"/>
      <c r="E124" s="203"/>
      <c r="F124" s="204"/>
      <c r="G124" s="596"/>
      <c r="H124" s="130"/>
      <c r="I124" s="132"/>
      <c r="J124" s="131"/>
      <c r="K124" s="134"/>
      <c r="L124" s="599"/>
      <c r="M124" s="130"/>
      <c r="N124" s="132"/>
      <c r="O124" s="131"/>
      <c r="P124" s="134"/>
      <c r="Q124" s="596"/>
      <c r="R124" s="130"/>
      <c r="S124" s="132"/>
      <c r="T124" s="131"/>
      <c r="U124" s="134"/>
      <c r="V124" s="599"/>
      <c r="W124" s="130"/>
      <c r="X124" s="132"/>
      <c r="Y124" s="131"/>
      <c r="Z124" s="134"/>
      <c r="AA124" s="596"/>
      <c r="AB124" s="130"/>
      <c r="AC124" s="132"/>
      <c r="AD124" s="131"/>
      <c r="AE124" s="134"/>
      <c r="AF124" s="618"/>
      <c r="AG124" s="95"/>
      <c r="AH124" s="95"/>
      <c r="AI124" s="57"/>
      <c r="AJ124" s="106"/>
      <c r="AK124" s="91"/>
      <c r="AL124"/>
      <c r="AM124"/>
      <c r="AN124"/>
      <c r="AO124"/>
      <c r="AP124"/>
      <c r="AQ124"/>
      <c r="AR1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1:86" s="1" customFormat="1" ht="18" hidden="1" customHeight="1">
      <c r="A125" s="592" t="s">
        <v>54</v>
      </c>
      <c r="B125" s="643"/>
      <c r="C125" s="187"/>
      <c r="D125" s="188"/>
      <c r="E125" s="189"/>
      <c r="F125" s="190"/>
      <c r="G125" s="529"/>
      <c r="H125" s="95"/>
      <c r="I125" s="13"/>
      <c r="J125" s="57"/>
      <c r="K125" s="105"/>
      <c r="L125" s="529"/>
      <c r="M125" s="95"/>
      <c r="N125" s="13"/>
      <c r="O125" s="57"/>
      <c r="P125" s="104"/>
      <c r="Q125" s="529"/>
      <c r="R125" s="95"/>
      <c r="S125" s="95"/>
      <c r="T125" s="57"/>
      <c r="U125" s="105"/>
      <c r="V125" s="529"/>
      <c r="W125" s="95"/>
      <c r="X125" s="13"/>
      <c r="Y125" s="57"/>
      <c r="Z125" s="105"/>
      <c r="AA125" s="529"/>
      <c r="AB125" s="208"/>
      <c r="AC125" s="13"/>
      <c r="AD125" s="57"/>
      <c r="AE125" s="105"/>
      <c r="AF125" s="643"/>
      <c r="AG125" s="191"/>
      <c r="AH125" s="192"/>
      <c r="AI125" s="193"/>
      <c r="AJ125" s="190"/>
      <c r="AK125" s="91"/>
      <c r="AL125"/>
      <c r="AM125"/>
      <c r="AN125"/>
      <c r="AO125"/>
      <c r="AP125"/>
      <c r="AQ125"/>
      <c r="AR125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1:86" s="1" customFormat="1" ht="18" hidden="1" customHeight="1">
      <c r="A126" s="515"/>
      <c r="B126" s="644"/>
      <c r="C126" s="194"/>
      <c r="D126" s="195"/>
      <c r="E126" s="196"/>
      <c r="F126" s="197"/>
      <c r="G126" s="529"/>
      <c r="H126" s="95"/>
      <c r="I126" s="13"/>
      <c r="J126" s="57"/>
      <c r="K126" s="105"/>
      <c r="L126" s="529"/>
      <c r="M126" s="95"/>
      <c r="N126" s="13"/>
      <c r="O126" s="57"/>
      <c r="P126" s="104"/>
      <c r="Q126" s="529"/>
      <c r="R126" s="95"/>
      <c r="S126" s="95"/>
      <c r="T126" s="57"/>
      <c r="U126" s="105"/>
      <c r="V126" s="529"/>
      <c r="W126" s="95"/>
      <c r="X126" s="13"/>
      <c r="Y126" s="57"/>
      <c r="Z126" s="105"/>
      <c r="AA126" s="529"/>
      <c r="AB126" s="208"/>
      <c r="AC126" s="13"/>
      <c r="AD126" s="57"/>
      <c r="AE126" s="105"/>
      <c r="AF126" s="644"/>
      <c r="AG126" s="198"/>
      <c r="AH126" s="199"/>
      <c r="AI126" s="200"/>
      <c r="AJ126" s="197"/>
      <c r="AK126" s="91"/>
      <c r="AL126"/>
      <c r="AM126"/>
      <c r="AN126"/>
      <c r="AO126"/>
      <c r="AP126"/>
      <c r="AQ126"/>
      <c r="AR126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1:86" s="1" customFormat="1" ht="18" hidden="1" customHeight="1">
      <c r="A127" s="515"/>
      <c r="B127" s="644"/>
      <c r="C127" s="194"/>
      <c r="D127" s="195"/>
      <c r="E127" s="196"/>
      <c r="F127" s="197"/>
      <c r="G127" s="529"/>
      <c r="H127" s="95"/>
      <c r="I127" s="13"/>
      <c r="J127" s="57"/>
      <c r="K127" s="105"/>
      <c r="L127" s="529"/>
      <c r="M127" s="95"/>
      <c r="N127" s="13"/>
      <c r="O127" s="57"/>
      <c r="P127" s="104"/>
      <c r="Q127" s="529"/>
      <c r="R127" s="95"/>
      <c r="S127" s="95"/>
      <c r="T127" s="57"/>
      <c r="U127" s="105"/>
      <c r="V127" s="529"/>
      <c r="W127" s="95"/>
      <c r="X127" s="13"/>
      <c r="Y127" s="57"/>
      <c r="Z127" s="105"/>
      <c r="AA127" s="529"/>
      <c r="AB127" s="208"/>
      <c r="AC127" s="13"/>
      <c r="AD127" s="57"/>
      <c r="AE127" s="105"/>
      <c r="AF127" s="644"/>
      <c r="AG127" s="198"/>
      <c r="AH127" s="199"/>
      <c r="AI127" s="200"/>
      <c r="AJ127" s="197"/>
      <c r="AK127" s="91"/>
      <c r="AL127"/>
      <c r="AM127"/>
      <c r="AN127"/>
      <c r="AO127"/>
      <c r="AP127"/>
      <c r="AQ127"/>
      <c r="AR127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1:86" s="1" customFormat="1" ht="18" hidden="1" customHeight="1">
      <c r="A128" s="515"/>
      <c r="B128" s="644"/>
      <c r="C128" s="194"/>
      <c r="D128" s="195"/>
      <c r="E128" s="196"/>
      <c r="F128" s="197"/>
      <c r="G128" s="529"/>
      <c r="H128" s="95"/>
      <c r="I128" s="13"/>
      <c r="J128" s="57"/>
      <c r="K128" s="105"/>
      <c r="L128" s="529"/>
      <c r="M128" s="95"/>
      <c r="N128" s="13"/>
      <c r="O128" s="57"/>
      <c r="P128" s="104"/>
      <c r="Q128" s="529"/>
      <c r="R128" s="95"/>
      <c r="S128" s="95"/>
      <c r="T128" s="57"/>
      <c r="U128" s="105"/>
      <c r="V128" s="529"/>
      <c r="W128" s="95"/>
      <c r="X128" s="13"/>
      <c r="Y128" s="57"/>
      <c r="Z128" s="105"/>
      <c r="AA128" s="529"/>
      <c r="AB128" s="208"/>
      <c r="AC128" s="13"/>
      <c r="AD128" s="57"/>
      <c r="AE128" s="105"/>
      <c r="AF128" s="644"/>
      <c r="AG128" s="198"/>
      <c r="AH128" s="199"/>
      <c r="AI128" s="200"/>
      <c r="AJ128" s="197"/>
      <c r="AK128" s="91"/>
      <c r="AL128"/>
      <c r="AM128"/>
      <c r="AN128"/>
      <c r="AO128"/>
      <c r="AP128"/>
      <c r="AQ128"/>
      <c r="AR128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1:86" s="1" customFormat="1" ht="18" hidden="1" customHeight="1">
      <c r="A129" s="515"/>
      <c r="B129" s="644"/>
      <c r="C129" s="194"/>
      <c r="D129" s="195"/>
      <c r="E129" s="196"/>
      <c r="F129" s="197"/>
      <c r="G129" s="529"/>
      <c r="H129" s="95"/>
      <c r="I129" s="13"/>
      <c r="J129" s="57"/>
      <c r="K129" s="105"/>
      <c r="L129" s="529"/>
      <c r="M129" s="95"/>
      <c r="N129" s="13"/>
      <c r="O129" s="57"/>
      <c r="P129" s="104"/>
      <c r="Q129" s="529"/>
      <c r="R129" s="95"/>
      <c r="S129" s="95"/>
      <c r="T129" s="57"/>
      <c r="U129" s="105"/>
      <c r="V129" s="529"/>
      <c r="W129" s="95"/>
      <c r="X129" s="13"/>
      <c r="Y129" s="57"/>
      <c r="Z129" s="105"/>
      <c r="AA129" s="529"/>
      <c r="AB129" s="208"/>
      <c r="AC129" s="13"/>
      <c r="AD129" s="57"/>
      <c r="AE129" s="105"/>
      <c r="AF129" s="644"/>
      <c r="AG129" s="198"/>
      <c r="AH129" s="199"/>
      <c r="AI129" s="200"/>
      <c r="AJ129" s="197"/>
      <c r="AK129" s="91"/>
      <c r="AL129"/>
      <c r="AM129"/>
      <c r="AN129"/>
      <c r="AO129"/>
      <c r="AP129"/>
      <c r="AQ129"/>
      <c r="AR129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1:86" s="1" customFormat="1" ht="18" hidden="1" customHeight="1">
      <c r="A130" s="515"/>
      <c r="B130" s="644"/>
      <c r="C130" s="194"/>
      <c r="D130" s="195"/>
      <c r="E130" s="196"/>
      <c r="F130" s="197"/>
      <c r="G130" s="529"/>
      <c r="H130" s="95"/>
      <c r="I130" s="13"/>
      <c r="J130" s="57"/>
      <c r="K130" s="105"/>
      <c r="L130" s="529"/>
      <c r="M130" s="95"/>
      <c r="N130" s="13"/>
      <c r="O130" s="57"/>
      <c r="P130" s="104"/>
      <c r="Q130" s="529"/>
      <c r="R130" s="95"/>
      <c r="S130" s="95"/>
      <c r="T130" s="57"/>
      <c r="U130" s="105"/>
      <c r="V130" s="529"/>
      <c r="W130" s="95"/>
      <c r="X130" s="13"/>
      <c r="Y130" s="57"/>
      <c r="Z130" s="105"/>
      <c r="AA130" s="529"/>
      <c r="AB130" s="208"/>
      <c r="AC130" s="13"/>
      <c r="AD130" s="57"/>
      <c r="AE130" s="105"/>
      <c r="AF130" s="644"/>
      <c r="AG130" s="198"/>
      <c r="AH130" s="199"/>
      <c r="AI130" s="200"/>
      <c r="AJ130" s="197"/>
      <c r="AK130" s="91"/>
      <c r="AL130"/>
      <c r="AM130"/>
      <c r="AN130"/>
      <c r="AO130"/>
      <c r="AP130"/>
      <c r="AQ130"/>
      <c r="AR130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1:86" s="1" customFormat="1" ht="18" hidden="1" customHeight="1">
      <c r="A131" s="515"/>
      <c r="B131" s="644"/>
      <c r="C131" s="194"/>
      <c r="D131" s="195"/>
      <c r="E131" s="196"/>
      <c r="F131" s="197"/>
      <c r="G131" s="529"/>
      <c r="H131" s="95"/>
      <c r="I131" s="13"/>
      <c r="J131" s="57"/>
      <c r="K131" s="105"/>
      <c r="L131" s="529"/>
      <c r="M131" s="95"/>
      <c r="N131" s="13"/>
      <c r="O131" s="57"/>
      <c r="P131" s="104"/>
      <c r="Q131" s="529"/>
      <c r="R131" s="95"/>
      <c r="S131" s="95"/>
      <c r="T131" s="57"/>
      <c r="U131" s="105"/>
      <c r="V131" s="529"/>
      <c r="W131" s="95"/>
      <c r="X131" s="13"/>
      <c r="Y131" s="57"/>
      <c r="Z131" s="105"/>
      <c r="AA131" s="529"/>
      <c r="AB131" s="208"/>
      <c r="AC131" s="13"/>
      <c r="AD131" s="57"/>
      <c r="AE131" s="105"/>
      <c r="AF131" s="644"/>
      <c r="AG131" s="198"/>
      <c r="AH131" s="199"/>
      <c r="AI131" s="200"/>
      <c r="AJ131" s="197"/>
      <c r="AK131" s="91"/>
      <c r="AL131"/>
      <c r="AM131"/>
      <c r="AN131"/>
      <c r="AO131"/>
      <c r="AP131"/>
      <c r="AQ131"/>
      <c r="AR131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1:86" s="1" customFormat="1" ht="18" hidden="1" customHeight="1">
      <c r="A132" s="515"/>
      <c r="B132" s="644"/>
      <c r="C132" s="194"/>
      <c r="D132" s="195"/>
      <c r="E132" s="196"/>
      <c r="F132" s="197"/>
      <c r="G132" s="529"/>
      <c r="H132" s="95"/>
      <c r="I132" s="13"/>
      <c r="J132" s="57"/>
      <c r="K132" s="105"/>
      <c r="L132" s="529"/>
      <c r="M132" s="95"/>
      <c r="N132" s="13"/>
      <c r="O132" s="57"/>
      <c r="P132" s="104"/>
      <c r="Q132" s="529"/>
      <c r="R132" s="95"/>
      <c r="S132" s="95"/>
      <c r="T132" s="57"/>
      <c r="U132" s="105"/>
      <c r="V132" s="529"/>
      <c r="W132" s="95"/>
      <c r="X132" s="13"/>
      <c r="Y132" s="57"/>
      <c r="Z132" s="105"/>
      <c r="AA132" s="529"/>
      <c r="AB132" s="208"/>
      <c r="AC132" s="13"/>
      <c r="AD132" s="57"/>
      <c r="AE132" s="105"/>
      <c r="AF132" s="644"/>
      <c r="AG132" s="198"/>
      <c r="AH132" s="199"/>
      <c r="AI132" s="200"/>
      <c r="AJ132" s="197"/>
      <c r="AK132" s="91"/>
      <c r="AL132"/>
      <c r="AM132"/>
      <c r="AN132"/>
      <c r="AO132"/>
      <c r="AP132"/>
      <c r="AQ132"/>
      <c r="AR132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1:86" s="1" customFormat="1" ht="18" hidden="1" customHeight="1">
      <c r="A133" s="515"/>
      <c r="B133" s="644"/>
      <c r="C133" s="194"/>
      <c r="D133" s="195"/>
      <c r="E133" s="196"/>
      <c r="F133" s="197"/>
      <c r="G133" s="529"/>
      <c r="H133" s="95"/>
      <c r="I133" s="13"/>
      <c r="J133" s="57"/>
      <c r="K133" s="105"/>
      <c r="L133" s="529"/>
      <c r="M133" s="95"/>
      <c r="N133" s="13"/>
      <c r="O133" s="57"/>
      <c r="P133" s="104"/>
      <c r="Q133" s="529"/>
      <c r="R133" s="95"/>
      <c r="S133" s="95"/>
      <c r="T133" s="57"/>
      <c r="U133" s="105"/>
      <c r="V133" s="529"/>
      <c r="W133" s="95"/>
      <c r="X133" s="13"/>
      <c r="Y133" s="57"/>
      <c r="Z133" s="105"/>
      <c r="AA133" s="529"/>
      <c r="AB133" s="208"/>
      <c r="AC133" s="13"/>
      <c r="AD133" s="57"/>
      <c r="AE133" s="105"/>
      <c r="AF133" s="644"/>
      <c r="AG133" s="198"/>
      <c r="AH133" s="199"/>
      <c r="AI133" s="200"/>
      <c r="AJ133" s="197"/>
      <c r="AK133" s="91"/>
      <c r="AL133"/>
      <c r="AM133"/>
      <c r="AN133"/>
      <c r="AO133"/>
      <c r="AP133"/>
      <c r="AQ133"/>
      <c r="AR133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1:86" s="1" customFormat="1" ht="18" hidden="1" customHeight="1">
      <c r="A134" s="515"/>
      <c r="B134" s="644"/>
      <c r="C134" s="194"/>
      <c r="D134" s="195"/>
      <c r="E134" s="196"/>
      <c r="F134" s="197"/>
      <c r="G134" s="529"/>
      <c r="H134" s="95"/>
      <c r="I134" s="13"/>
      <c r="J134" s="57"/>
      <c r="K134" s="105"/>
      <c r="L134" s="529"/>
      <c r="M134" s="95"/>
      <c r="N134" s="13"/>
      <c r="O134" s="57"/>
      <c r="P134" s="104"/>
      <c r="Q134" s="529"/>
      <c r="R134" s="95"/>
      <c r="S134" s="95"/>
      <c r="T134" s="57"/>
      <c r="U134" s="105"/>
      <c r="V134" s="529"/>
      <c r="W134" s="95"/>
      <c r="X134" s="13"/>
      <c r="Y134" s="57"/>
      <c r="Z134" s="105"/>
      <c r="AA134" s="529"/>
      <c r="AB134" s="208"/>
      <c r="AC134" s="13"/>
      <c r="AD134" s="57"/>
      <c r="AE134" s="105"/>
      <c r="AF134" s="644"/>
      <c r="AG134" s="198"/>
      <c r="AH134" s="199"/>
      <c r="AI134" s="200"/>
      <c r="AJ134" s="197"/>
      <c r="AK134" s="91"/>
      <c r="AL134"/>
      <c r="AM134"/>
      <c r="AN134"/>
      <c r="AO134"/>
      <c r="AP134"/>
      <c r="AQ134"/>
      <c r="AR13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1:86" s="1" customFormat="1" ht="18" hidden="1" customHeight="1">
      <c r="A135" s="515"/>
      <c r="B135" s="644"/>
      <c r="C135" s="194"/>
      <c r="D135" s="195"/>
      <c r="E135" s="196"/>
      <c r="F135" s="197"/>
      <c r="G135" s="529"/>
      <c r="H135" s="95"/>
      <c r="I135" s="13"/>
      <c r="J135" s="57"/>
      <c r="K135" s="105"/>
      <c r="L135" s="529"/>
      <c r="M135" s="95"/>
      <c r="N135" s="13"/>
      <c r="O135" s="57"/>
      <c r="P135" s="104"/>
      <c r="Q135" s="529"/>
      <c r="R135" s="95"/>
      <c r="S135" s="95"/>
      <c r="T135" s="57"/>
      <c r="U135" s="105"/>
      <c r="V135" s="529"/>
      <c r="W135" s="95"/>
      <c r="X135" s="13"/>
      <c r="Y135" s="57"/>
      <c r="Z135" s="105"/>
      <c r="AA135" s="529"/>
      <c r="AB135" s="208"/>
      <c r="AC135" s="13"/>
      <c r="AD135" s="57"/>
      <c r="AE135" s="105"/>
      <c r="AF135" s="644"/>
      <c r="AG135" s="198"/>
      <c r="AH135" s="199"/>
      <c r="AI135" s="200"/>
      <c r="AJ135" s="197"/>
      <c r="AK135" s="91"/>
      <c r="AL135"/>
      <c r="AM135"/>
      <c r="AN135"/>
      <c r="AO135"/>
      <c r="AP135"/>
      <c r="AQ135"/>
      <c r="AR135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1:86" s="1" customFormat="1" ht="18" hidden="1" customHeight="1">
      <c r="A136" s="515"/>
      <c r="B136" s="644"/>
      <c r="C136" s="194"/>
      <c r="D136" s="195"/>
      <c r="E136" s="196"/>
      <c r="F136" s="197"/>
      <c r="G136" s="529"/>
      <c r="H136" s="95"/>
      <c r="I136" s="13"/>
      <c r="J136" s="57"/>
      <c r="K136" s="105"/>
      <c r="L136" s="529"/>
      <c r="M136" s="95"/>
      <c r="N136" s="13"/>
      <c r="O136" s="57"/>
      <c r="P136" s="104"/>
      <c r="Q136" s="529"/>
      <c r="R136" s="95"/>
      <c r="S136" s="95"/>
      <c r="T136" s="57"/>
      <c r="U136" s="105"/>
      <c r="V136" s="529"/>
      <c r="W136" s="95"/>
      <c r="X136" s="13"/>
      <c r="Y136" s="57"/>
      <c r="Z136" s="105"/>
      <c r="AA136" s="529"/>
      <c r="AB136" s="208"/>
      <c r="AC136" s="13"/>
      <c r="AD136" s="57"/>
      <c r="AE136" s="105"/>
      <c r="AF136" s="644"/>
      <c r="AG136" s="198"/>
      <c r="AH136" s="199"/>
      <c r="AI136" s="200"/>
      <c r="AJ136" s="197"/>
      <c r="AK136" s="91"/>
      <c r="AL136"/>
      <c r="AM136"/>
      <c r="AN136"/>
      <c r="AO136"/>
      <c r="AP136"/>
      <c r="AQ136"/>
      <c r="AR136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1:86" s="1" customFormat="1" ht="18" hidden="1" customHeight="1">
      <c r="A137" s="515"/>
      <c r="B137" s="644"/>
      <c r="C137" s="194"/>
      <c r="D137" s="195"/>
      <c r="E137" s="196"/>
      <c r="F137" s="197"/>
      <c r="G137" s="529"/>
      <c r="H137" s="95"/>
      <c r="I137" s="13"/>
      <c r="J137" s="57"/>
      <c r="K137" s="105"/>
      <c r="L137" s="529"/>
      <c r="M137" s="95"/>
      <c r="N137" s="13"/>
      <c r="O137" s="57"/>
      <c r="P137" s="104"/>
      <c r="Q137" s="529"/>
      <c r="R137" s="95"/>
      <c r="S137" s="95"/>
      <c r="T137" s="57"/>
      <c r="U137" s="105"/>
      <c r="V137" s="529"/>
      <c r="W137" s="95"/>
      <c r="X137" s="13"/>
      <c r="Y137" s="57"/>
      <c r="Z137" s="105"/>
      <c r="AA137" s="529"/>
      <c r="AB137" s="208"/>
      <c r="AC137" s="13"/>
      <c r="AD137" s="57"/>
      <c r="AE137" s="105"/>
      <c r="AF137" s="644"/>
      <c r="AG137" s="198"/>
      <c r="AH137" s="199"/>
      <c r="AI137" s="200"/>
      <c r="AJ137" s="197"/>
      <c r="AK137" s="91"/>
      <c r="AL137"/>
      <c r="AM137"/>
      <c r="AN137"/>
      <c r="AO137"/>
      <c r="AP137"/>
      <c r="AQ137"/>
      <c r="AR137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1:86" s="1" customFormat="1" ht="18" hidden="1" customHeight="1">
      <c r="A138" s="515"/>
      <c r="B138" s="644"/>
      <c r="C138" s="194"/>
      <c r="D138" s="195"/>
      <c r="E138" s="196"/>
      <c r="F138" s="197"/>
      <c r="G138" s="529"/>
      <c r="H138" s="95"/>
      <c r="I138" s="13"/>
      <c r="J138" s="57"/>
      <c r="K138" s="105"/>
      <c r="L138" s="529"/>
      <c r="M138" s="95"/>
      <c r="N138" s="13"/>
      <c r="O138" s="57"/>
      <c r="P138" s="104"/>
      <c r="Q138" s="529"/>
      <c r="R138" s="95"/>
      <c r="S138" s="95"/>
      <c r="T138" s="57"/>
      <c r="U138" s="105"/>
      <c r="V138" s="529"/>
      <c r="W138" s="95"/>
      <c r="X138" s="13"/>
      <c r="Y138" s="57"/>
      <c r="Z138" s="105"/>
      <c r="AA138" s="529"/>
      <c r="AB138" s="208"/>
      <c r="AC138" s="13"/>
      <c r="AD138" s="57"/>
      <c r="AE138" s="105"/>
      <c r="AF138" s="644"/>
      <c r="AG138" s="198"/>
      <c r="AH138" s="199"/>
      <c r="AI138" s="200"/>
      <c r="AJ138" s="197"/>
      <c r="AK138" s="91"/>
      <c r="AL138"/>
      <c r="AM138"/>
      <c r="AN138"/>
      <c r="AO138"/>
      <c r="AP138"/>
      <c r="AQ138"/>
      <c r="AR138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1:86" s="1" customFormat="1" ht="18" hidden="1" customHeight="1">
      <c r="A139" s="593"/>
      <c r="B139" s="645"/>
      <c r="C139" s="201"/>
      <c r="D139" s="202"/>
      <c r="E139" s="203"/>
      <c r="F139" s="204"/>
      <c r="G139" s="530"/>
      <c r="H139" s="95"/>
      <c r="I139" s="13"/>
      <c r="J139" s="57"/>
      <c r="K139" s="107"/>
      <c r="L139" s="530"/>
      <c r="M139" s="95"/>
      <c r="N139" s="13"/>
      <c r="O139" s="57"/>
      <c r="P139" s="106"/>
      <c r="Q139" s="530"/>
      <c r="R139" s="95"/>
      <c r="S139" s="95"/>
      <c r="T139" s="57"/>
      <c r="U139" s="107"/>
      <c r="V139" s="530"/>
      <c r="W139" s="95"/>
      <c r="X139" s="13"/>
      <c r="Y139" s="57"/>
      <c r="Z139" s="107"/>
      <c r="AA139" s="530"/>
      <c r="AB139" s="208"/>
      <c r="AC139" s="13"/>
      <c r="AD139" s="57"/>
      <c r="AE139" s="107"/>
      <c r="AF139" s="645"/>
      <c r="AG139" s="205"/>
      <c r="AH139" s="206"/>
      <c r="AI139" s="207"/>
      <c r="AJ139" s="204"/>
      <c r="AK139" s="91"/>
      <c r="AL139"/>
      <c r="AM139"/>
      <c r="AN139"/>
      <c r="AO139"/>
      <c r="AP139"/>
      <c r="AQ139"/>
      <c r="AR139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1:86" s="1" customFormat="1" ht="18" hidden="1" customHeight="1">
      <c r="A140" s="592" t="s">
        <v>55</v>
      </c>
      <c r="B140" s="643"/>
      <c r="C140" s="187"/>
      <c r="D140" s="188"/>
      <c r="E140" s="189"/>
      <c r="F140" s="190"/>
      <c r="G140" s="528"/>
      <c r="H140" s="95"/>
      <c r="I140" s="13"/>
      <c r="J140" s="57"/>
      <c r="K140" s="108"/>
      <c r="L140" s="528"/>
      <c r="M140" s="95"/>
      <c r="N140" s="13"/>
      <c r="O140" s="57"/>
      <c r="P140" s="110"/>
      <c r="Q140" s="528"/>
      <c r="R140" s="95"/>
      <c r="S140" s="95"/>
      <c r="T140" s="57"/>
      <c r="U140" s="108"/>
      <c r="V140" s="528"/>
      <c r="W140" s="95"/>
      <c r="X140" s="13"/>
      <c r="Y140" s="57"/>
      <c r="Z140" s="108"/>
      <c r="AA140" s="528"/>
      <c r="AB140" s="208"/>
      <c r="AC140" s="13"/>
      <c r="AD140" s="57"/>
      <c r="AE140" s="108"/>
      <c r="AF140" s="643"/>
      <c r="AG140" s="191"/>
      <c r="AH140" s="192"/>
      <c r="AI140" s="193"/>
      <c r="AJ140" s="190"/>
      <c r="AK140" s="91"/>
      <c r="AL140"/>
      <c r="AM140"/>
      <c r="AN140"/>
      <c r="AO140"/>
      <c r="AP140"/>
      <c r="AQ140"/>
      <c r="AR140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1:86" s="1" customFormat="1" ht="18" hidden="1" customHeight="1">
      <c r="A141" s="515"/>
      <c r="B141" s="644"/>
      <c r="C141" s="194"/>
      <c r="D141" s="195"/>
      <c r="E141" s="196"/>
      <c r="F141" s="197"/>
      <c r="G141" s="529"/>
      <c r="H141" s="95"/>
      <c r="I141" s="13"/>
      <c r="J141" s="57"/>
      <c r="K141" s="105"/>
      <c r="L141" s="529"/>
      <c r="M141" s="95"/>
      <c r="N141" s="13"/>
      <c r="O141" s="57"/>
      <c r="P141" s="104"/>
      <c r="Q141" s="529"/>
      <c r="R141" s="95"/>
      <c r="S141" s="95"/>
      <c r="T141" s="57"/>
      <c r="U141" s="105"/>
      <c r="V141" s="529"/>
      <c r="W141" s="95"/>
      <c r="X141" s="13"/>
      <c r="Y141" s="57"/>
      <c r="Z141" s="105"/>
      <c r="AA141" s="529"/>
      <c r="AB141" s="208"/>
      <c r="AC141" s="13"/>
      <c r="AD141" s="57"/>
      <c r="AE141" s="105"/>
      <c r="AF141" s="644"/>
      <c r="AG141" s="198"/>
      <c r="AH141" s="199"/>
      <c r="AI141" s="200"/>
      <c r="AJ141" s="197"/>
      <c r="AK141" s="91"/>
      <c r="AL141"/>
      <c r="AM141"/>
      <c r="AN141"/>
      <c r="AO141"/>
      <c r="AP141"/>
      <c r="AQ141"/>
      <c r="AR141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1:86" s="1" customFormat="1" ht="18" hidden="1" customHeight="1">
      <c r="A142" s="515"/>
      <c r="B142" s="644"/>
      <c r="C142" s="194"/>
      <c r="D142" s="195"/>
      <c r="E142" s="196"/>
      <c r="F142" s="197"/>
      <c r="G142" s="529"/>
      <c r="H142" s="95"/>
      <c r="I142" s="13"/>
      <c r="J142" s="57"/>
      <c r="K142" s="105"/>
      <c r="L142" s="529"/>
      <c r="M142" s="95"/>
      <c r="N142" s="13"/>
      <c r="O142" s="57"/>
      <c r="P142" s="104"/>
      <c r="Q142" s="529"/>
      <c r="R142" s="95"/>
      <c r="S142" s="95"/>
      <c r="T142" s="57"/>
      <c r="U142" s="105"/>
      <c r="V142" s="529"/>
      <c r="W142" s="95"/>
      <c r="X142" s="13"/>
      <c r="Y142" s="57"/>
      <c r="Z142" s="105"/>
      <c r="AA142" s="529"/>
      <c r="AB142" s="208"/>
      <c r="AC142" s="13"/>
      <c r="AD142" s="57"/>
      <c r="AE142" s="105"/>
      <c r="AF142" s="644"/>
      <c r="AG142" s="198"/>
      <c r="AH142" s="199"/>
      <c r="AI142" s="200"/>
      <c r="AJ142" s="197"/>
      <c r="AK142" s="91"/>
      <c r="AL142"/>
      <c r="AM142"/>
      <c r="AN142"/>
      <c r="AO142"/>
      <c r="AP142"/>
      <c r="AQ142"/>
      <c r="AR142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1:86" s="1" customFormat="1" ht="18" hidden="1" customHeight="1">
      <c r="A143" s="515"/>
      <c r="B143" s="644"/>
      <c r="C143" s="194"/>
      <c r="D143" s="195"/>
      <c r="E143" s="196"/>
      <c r="F143" s="197"/>
      <c r="G143" s="529"/>
      <c r="H143" s="95"/>
      <c r="I143" s="13"/>
      <c r="J143" s="57"/>
      <c r="K143" s="105"/>
      <c r="L143" s="529"/>
      <c r="M143" s="95"/>
      <c r="N143" s="13"/>
      <c r="O143" s="57"/>
      <c r="P143" s="104"/>
      <c r="Q143" s="529"/>
      <c r="R143" s="95"/>
      <c r="S143" s="95"/>
      <c r="T143" s="57"/>
      <c r="U143" s="105"/>
      <c r="V143" s="529"/>
      <c r="W143" s="95"/>
      <c r="X143" s="13"/>
      <c r="Y143" s="57"/>
      <c r="Z143" s="105"/>
      <c r="AA143" s="529"/>
      <c r="AB143" s="208"/>
      <c r="AC143" s="13"/>
      <c r="AD143" s="57"/>
      <c r="AE143" s="105"/>
      <c r="AF143" s="644"/>
      <c r="AG143" s="198"/>
      <c r="AH143" s="199"/>
      <c r="AI143" s="200"/>
      <c r="AJ143" s="197"/>
      <c r="AK143" s="91"/>
      <c r="AL143"/>
      <c r="AM143"/>
      <c r="AN143"/>
      <c r="AO143"/>
      <c r="AP143"/>
      <c r="AQ143"/>
      <c r="AR143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1:86" s="1" customFormat="1" ht="18" hidden="1" customHeight="1">
      <c r="A144" s="515"/>
      <c r="B144" s="644"/>
      <c r="C144" s="194"/>
      <c r="D144" s="195"/>
      <c r="E144" s="196"/>
      <c r="F144" s="197"/>
      <c r="G144" s="529"/>
      <c r="H144" s="95"/>
      <c r="I144" s="13"/>
      <c r="J144" s="57"/>
      <c r="K144" s="105"/>
      <c r="L144" s="529"/>
      <c r="M144" s="95"/>
      <c r="N144" s="13"/>
      <c r="O144" s="57"/>
      <c r="P144" s="104"/>
      <c r="Q144" s="529"/>
      <c r="R144" s="95"/>
      <c r="S144" s="95"/>
      <c r="T144" s="57"/>
      <c r="U144" s="105"/>
      <c r="V144" s="529"/>
      <c r="W144" s="95"/>
      <c r="X144" s="13"/>
      <c r="Y144" s="57"/>
      <c r="Z144" s="105"/>
      <c r="AA144" s="529"/>
      <c r="AB144" s="208"/>
      <c r="AC144" s="13"/>
      <c r="AD144" s="57"/>
      <c r="AE144" s="105"/>
      <c r="AF144" s="644"/>
      <c r="AG144" s="198"/>
      <c r="AH144" s="199"/>
      <c r="AI144" s="200"/>
      <c r="AJ144" s="197"/>
      <c r="AK144" s="91"/>
      <c r="AL144"/>
      <c r="AM144"/>
      <c r="AN144"/>
      <c r="AO144"/>
      <c r="AP144"/>
      <c r="AQ144"/>
      <c r="AR14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1:86" s="1" customFormat="1" ht="18" hidden="1" customHeight="1">
      <c r="A145" s="515"/>
      <c r="B145" s="644"/>
      <c r="C145" s="194"/>
      <c r="D145" s="195"/>
      <c r="E145" s="196"/>
      <c r="F145" s="197"/>
      <c r="G145" s="529"/>
      <c r="H145" s="95"/>
      <c r="I145" s="13"/>
      <c r="J145" s="57"/>
      <c r="K145" s="105"/>
      <c r="L145" s="529"/>
      <c r="M145" s="95"/>
      <c r="N145" s="13"/>
      <c r="O145" s="57"/>
      <c r="P145" s="104"/>
      <c r="Q145" s="529"/>
      <c r="R145" s="95"/>
      <c r="S145" s="95"/>
      <c r="T145" s="57"/>
      <c r="U145" s="105"/>
      <c r="V145" s="529"/>
      <c r="W145" s="95"/>
      <c r="X145" s="13"/>
      <c r="Y145" s="57"/>
      <c r="Z145" s="105"/>
      <c r="AA145" s="529"/>
      <c r="AB145" s="208"/>
      <c r="AC145" s="13"/>
      <c r="AD145" s="57"/>
      <c r="AE145" s="105"/>
      <c r="AF145" s="644"/>
      <c r="AG145" s="198"/>
      <c r="AH145" s="199"/>
      <c r="AI145" s="200"/>
      <c r="AJ145" s="197"/>
      <c r="AK145" s="91"/>
      <c r="AL145"/>
      <c r="AM145"/>
      <c r="AN145"/>
      <c r="AO145"/>
      <c r="AP145"/>
      <c r="AQ145"/>
      <c r="AR145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1:86" s="1" customFormat="1" ht="18" hidden="1" customHeight="1">
      <c r="A146" s="515"/>
      <c r="B146" s="644"/>
      <c r="C146" s="194"/>
      <c r="D146" s="195"/>
      <c r="E146" s="196"/>
      <c r="F146" s="197"/>
      <c r="G146" s="529"/>
      <c r="H146" s="95"/>
      <c r="I146" s="13"/>
      <c r="J146" s="57"/>
      <c r="K146" s="105"/>
      <c r="L146" s="529"/>
      <c r="M146" s="95"/>
      <c r="N146" s="13"/>
      <c r="O146" s="57"/>
      <c r="P146" s="104"/>
      <c r="Q146" s="529"/>
      <c r="R146" s="95"/>
      <c r="S146" s="95"/>
      <c r="T146" s="57"/>
      <c r="U146" s="105"/>
      <c r="V146" s="529"/>
      <c r="W146" s="95"/>
      <c r="X146" s="13"/>
      <c r="Y146" s="57"/>
      <c r="Z146" s="105"/>
      <c r="AA146" s="529"/>
      <c r="AB146" s="208"/>
      <c r="AC146" s="13"/>
      <c r="AD146" s="57"/>
      <c r="AE146" s="105"/>
      <c r="AF146" s="644"/>
      <c r="AG146" s="198"/>
      <c r="AH146" s="199"/>
      <c r="AI146" s="200"/>
      <c r="AJ146" s="197"/>
      <c r="AK146" s="91"/>
      <c r="AL146"/>
      <c r="AM146"/>
      <c r="AN146"/>
      <c r="AO146"/>
      <c r="AP146"/>
      <c r="AQ146"/>
      <c r="AR146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1:86" s="1" customFormat="1" ht="18" hidden="1" customHeight="1">
      <c r="A147" s="515"/>
      <c r="B147" s="644"/>
      <c r="C147" s="194"/>
      <c r="D147" s="195"/>
      <c r="E147" s="196"/>
      <c r="F147" s="197"/>
      <c r="G147" s="529"/>
      <c r="H147" s="95"/>
      <c r="I147" s="13"/>
      <c r="J147" s="57"/>
      <c r="K147" s="105"/>
      <c r="L147" s="529"/>
      <c r="M147" s="95"/>
      <c r="N147" s="13"/>
      <c r="O147" s="57"/>
      <c r="P147" s="104"/>
      <c r="Q147" s="529"/>
      <c r="R147" s="95"/>
      <c r="S147" s="95"/>
      <c r="T147" s="57"/>
      <c r="U147" s="105"/>
      <c r="V147" s="529"/>
      <c r="W147" s="95"/>
      <c r="X147" s="13"/>
      <c r="Y147" s="57"/>
      <c r="Z147" s="105"/>
      <c r="AA147" s="529"/>
      <c r="AB147" s="208"/>
      <c r="AC147" s="13"/>
      <c r="AD147" s="57"/>
      <c r="AE147" s="105"/>
      <c r="AF147" s="644"/>
      <c r="AG147" s="198"/>
      <c r="AH147" s="199"/>
      <c r="AI147" s="200"/>
      <c r="AJ147" s="197"/>
      <c r="AK147" s="91"/>
      <c r="AL147"/>
      <c r="AM147"/>
      <c r="AN147"/>
      <c r="AO147"/>
      <c r="AP147"/>
      <c r="AQ147"/>
      <c r="AR147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1:86" s="1" customFormat="1" ht="18" hidden="1" customHeight="1">
      <c r="A148" s="515"/>
      <c r="B148" s="644"/>
      <c r="C148" s="194"/>
      <c r="D148" s="195"/>
      <c r="E148" s="196"/>
      <c r="F148" s="197"/>
      <c r="G148" s="529"/>
      <c r="H148" s="95"/>
      <c r="I148" s="13"/>
      <c r="J148" s="57"/>
      <c r="K148" s="105"/>
      <c r="L148" s="529"/>
      <c r="M148" s="95"/>
      <c r="N148" s="13"/>
      <c r="O148" s="57"/>
      <c r="P148" s="104"/>
      <c r="Q148" s="529"/>
      <c r="R148" s="95"/>
      <c r="S148" s="95"/>
      <c r="T148" s="57"/>
      <c r="U148" s="105"/>
      <c r="V148" s="529"/>
      <c r="W148" s="95"/>
      <c r="X148" s="13"/>
      <c r="Y148" s="57"/>
      <c r="Z148" s="105"/>
      <c r="AA148" s="529"/>
      <c r="AB148" s="208"/>
      <c r="AC148" s="13"/>
      <c r="AD148" s="57"/>
      <c r="AE148" s="105"/>
      <c r="AF148" s="644"/>
      <c r="AG148" s="198"/>
      <c r="AH148" s="199"/>
      <c r="AI148" s="200"/>
      <c r="AJ148" s="197"/>
      <c r="AK148" s="91"/>
      <c r="AL148"/>
      <c r="AM148"/>
      <c r="AN148"/>
      <c r="AO148"/>
      <c r="AP148"/>
      <c r="AQ148"/>
      <c r="AR148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1:86" s="1" customFormat="1" ht="18" hidden="1" customHeight="1">
      <c r="A149" s="515"/>
      <c r="B149" s="644"/>
      <c r="C149" s="194"/>
      <c r="D149" s="195"/>
      <c r="E149" s="196"/>
      <c r="F149" s="197"/>
      <c r="G149" s="529"/>
      <c r="H149" s="95"/>
      <c r="I149" s="13"/>
      <c r="J149" s="57"/>
      <c r="K149" s="105"/>
      <c r="L149" s="529"/>
      <c r="M149" s="95"/>
      <c r="N149" s="13"/>
      <c r="O149" s="57"/>
      <c r="P149" s="104"/>
      <c r="Q149" s="529"/>
      <c r="R149" s="95"/>
      <c r="S149" s="95"/>
      <c r="T149" s="57"/>
      <c r="U149" s="105"/>
      <c r="V149" s="529"/>
      <c r="W149" s="95"/>
      <c r="X149" s="13"/>
      <c r="Y149" s="57"/>
      <c r="Z149" s="105"/>
      <c r="AA149" s="529"/>
      <c r="AB149" s="208"/>
      <c r="AC149" s="13"/>
      <c r="AD149" s="57"/>
      <c r="AE149" s="105"/>
      <c r="AF149" s="644"/>
      <c r="AG149" s="198"/>
      <c r="AH149" s="199"/>
      <c r="AI149" s="200"/>
      <c r="AJ149" s="197"/>
      <c r="AK149" s="91"/>
      <c r="AL149"/>
      <c r="AM149"/>
      <c r="AN149"/>
      <c r="AO149"/>
      <c r="AP149"/>
      <c r="AQ149"/>
      <c r="AR149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1:86" s="1" customFormat="1" ht="18" hidden="1" customHeight="1">
      <c r="A150" s="515"/>
      <c r="B150" s="644"/>
      <c r="C150" s="194"/>
      <c r="D150" s="195"/>
      <c r="E150" s="196"/>
      <c r="F150" s="197"/>
      <c r="G150" s="529"/>
      <c r="H150" s="95"/>
      <c r="I150" s="13"/>
      <c r="J150" s="57"/>
      <c r="K150" s="105"/>
      <c r="L150" s="529"/>
      <c r="M150" s="95"/>
      <c r="N150" s="13"/>
      <c r="O150" s="57"/>
      <c r="P150" s="104"/>
      <c r="Q150" s="529"/>
      <c r="R150" s="95"/>
      <c r="S150" s="95"/>
      <c r="T150" s="57"/>
      <c r="U150" s="105"/>
      <c r="V150" s="529"/>
      <c r="W150" s="95"/>
      <c r="X150" s="13"/>
      <c r="Y150" s="57"/>
      <c r="Z150" s="105"/>
      <c r="AA150" s="529"/>
      <c r="AB150" s="208"/>
      <c r="AC150" s="13"/>
      <c r="AD150" s="57"/>
      <c r="AE150" s="105"/>
      <c r="AF150" s="644"/>
      <c r="AG150" s="198"/>
      <c r="AH150" s="199"/>
      <c r="AI150" s="200"/>
      <c r="AJ150" s="197"/>
      <c r="AK150" s="91"/>
      <c r="AL150"/>
      <c r="AM150"/>
      <c r="AN150"/>
      <c r="AO150"/>
      <c r="AP150"/>
      <c r="AQ150"/>
      <c r="AR150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1:86" s="1" customFormat="1" ht="18" hidden="1" customHeight="1">
      <c r="A151" s="515"/>
      <c r="B151" s="644"/>
      <c r="C151" s="194"/>
      <c r="D151" s="195"/>
      <c r="E151" s="196"/>
      <c r="F151" s="197"/>
      <c r="G151" s="529"/>
      <c r="H151" s="95"/>
      <c r="I151" s="13"/>
      <c r="J151" s="57"/>
      <c r="K151" s="105"/>
      <c r="L151" s="529"/>
      <c r="M151" s="95"/>
      <c r="N151" s="13"/>
      <c r="O151" s="57"/>
      <c r="P151" s="104"/>
      <c r="Q151" s="529"/>
      <c r="R151" s="95"/>
      <c r="S151" s="95"/>
      <c r="T151" s="57"/>
      <c r="U151" s="105"/>
      <c r="V151" s="529"/>
      <c r="W151" s="95"/>
      <c r="X151" s="13"/>
      <c r="Y151" s="57"/>
      <c r="Z151" s="105"/>
      <c r="AA151" s="529"/>
      <c r="AB151" s="208"/>
      <c r="AC151" s="13"/>
      <c r="AD151" s="57"/>
      <c r="AE151" s="105"/>
      <c r="AF151" s="644"/>
      <c r="AG151" s="198"/>
      <c r="AH151" s="199"/>
      <c r="AI151" s="200"/>
      <c r="AJ151" s="197"/>
      <c r="AK151" s="91"/>
      <c r="AL151"/>
      <c r="AM151"/>
      <c r="AN151"/>
      <c r="AO151"/>
      <c r="AP151"/>
      <c r="AQ151"/>
      <c r="AR151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1:86" s="1" customFormat="1" ht="18" hidden="1" customHeight="1">
      <c r="A152" s="515"/>
      <c r="B152" s="644"/>
      <c r="C152" s="194"/>
      <c r="D152" s="195"/>
      <c r="E152" s="196"/>
      <c r="F152" s="197"/>
      <c r="G152" s="529"/>
      <c r="H152" s="95"/>
      <c r="I152" s="13"/>
      <c r="J152" s="57"/>
      <c r="K152" s="105"/>
      <c r="L152" s="529"/>
      <c r="M152" s="95"/>
      <c r="N152" s="13"/>
      <c r="O152" s="57"/>
      <c r="P152" s="104"/>
      <c r="Q152" s="529"/>
      <c r="R152" s="95"/>
      <c r="S152" s="95"/>
      <c r="T152" s="57"/>
      <c r="U152" s="105"/>
      <c r="V152" s="529"/>
      <c r="W152" s="95"/>
      <c r="X152" s="13"/>
      <c r="Y152" s="57"/>
      <c r="Z152" s="105"/>
      <c r="AA152" s="529"/>
      <c r="AB152" s="208"/>
      <c r="AC152" s="13"/>
      <c r="AD152" s="57"/>
      <c r="AE152" s="105"/>
      <c r="AF152" s="644"/>
      <c r="AG152" s="198"/>
      <c r="AH152" s="199"/>
      <c r="AI152" s="200"/>
      <c r="AJ152" s="197"/>
      <c r="AK152" s="91"/>
      <c r="AL152"/>
      <c r="AM152"/>
      <c r="AN152"/>
      <c r="AO152"/>
      <c r="AP152"/>
      <c r="AQ152"/>
      <c r="AR152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1:86" s="1" customFormat="1" ht="18" hidden="1" customHeight="1">
      <c r="A153" s="515"/>
      <c r="B153" s="644"/>
      <c r="C153" s="194"/>
      <c r="D153" s="195"/>
      <c r="E153" s="196"/>
      <c r="F153" s="197"/>
      <c r="G153" s="529"/>
      <c r="H153" s="95"/>
      <c r="I153" s="13"/>
      <c r="J153" s="57"/>
      <c r="K153" s="105"/>
      <c r="L153" s="529"/>
      <c r="M153" s="95"/>
      <c r="N153" s="13"/>
      <c r="O153" s="57"/>
      <c r="P153" s="104"/>
      <c r="Q153" s="529"/>
      <c r="R153" s="95"/>
      <c r="S153" s="95"/>
      <c r="T153" s="57"/>
      <c r="U153" s="105"/>
      <c r="V153" s="529"/>
      <c r="W153" s="95"/>
      <c r="X153" s="13"/>
      <c r="Y153" s="57"/>
      <c r="Z153" s="105"/>
      <c r="AA153" s="529"/>
      <c r="AB153" s="208"/>
      <c r="AC153" s="13"/>
      <c r="AD153" s="57"/>
      <c r="AE153" s="105"/>
      <c r="AF153" s="644"/>
      <c r="AG153" s="198"/>
      <c r="AH153" s="199"/>
      <c r="AI153" s="200"/>
      <c r="AJ153" s="197"/>
      <c r="AK153" s="91"/>
      <c r="AL153"/>
      <c r="AM153"/>
      <c r="AN153"/>
      <c r="AO153"/>
      <c r="AP153"/>
      <c r="AQ153"/>
      <c r="AR153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1:86" s="1" customFormat="1" ht="18" hidden="1" customHeight="1">
      <c r="A154" s="593"/>
      <c r="B154" s="645"/>
      <c r="C154" s="201"/>
      <c r="D154" s="202"/>
      <c r="E154" s="203"/>
      <c r="F154" s="204"/>
      <c r="G154" s="530"/>
      <c r="H154" s="95"/>
      <c r="I154" s="13"/>
      <c r="J154" s="57"/>
      <c r="K154" s="107"/>
      <c r="L154" s="530"/>
      <c r="M154" s="95"/>
      <c r="N154" s="13"/>
      <c r="O154" s="57"/>
      <c r="P154" s="106"/>
      <c r="Q154" s="530"/>
      <c r="R154" s="95"/>
      <c r="S154" s="95"/>
      <c r="T154" s="57"/>
      <c r="U154" s="107"/>
      <c r="V154" s="530"/>
      <c r="W154" s="95"/>
      <c r="X154" s="13"/>
      <c r="Y154" s="57"/>
      <c r="Z154" s="107"/>
      <c r="AA154" s="530"/>
      <c r="AB154" s="208"/>
      <c r="AC154" s="13"/>
      <c r="AD154" s="57"/>
      <c r="AE154" s="107"/>
      <c r="AF154" s="645"/>
      <c r="AG154" s="205"/>
      <c r="AH154" s="206"/>
      <c r="AI154" s="207"/>
      <c r="AJ154" s="204"/>
      <c r="AK154" s="91"/>
      <c r="AL154"/>
      <c r="AM154"/>
      <c r="AN154"/>
      <c r="AO154"/>
      <c r="AP154"/>
      <c r="AQ154"/>
      <c r="AR15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1:86" s="1" customFormat="1" ht="18" hidden="1" customHeight="1">
      <c r="A155" s="592" t="s">
        <v>56</v>
      </c>
      <c r="B155" s="643"/>
      <c r="C155" s="187"/>
      <c r="D155" s="188"/>
      <c r="E155" s="189"/>
      <c r="F155" s="190"/>
      <c r="G155" s="528"/>
      <c r="H155" s="95"/>
      <c r="I155" s="13"/>
      <c r="J155" s="57"/>
      <c r="K155" s="108"/>
      <c r="L155" s="528"/>
      <c r="M155" s="95"/>
      <c r="N155" s="13"/>
      <c r="O155" s="57"/>
      <c r="P155" s="110"/>
      <c r="Q155" s="528"/>
      <c r="R155" s="95"/>
      <c r="S155" s="95"/>
      <c r="T155" s="57"/>
      <c r="U155" s="108"/>
      <c r="V155" s="528"/>
      <c r="W155" s="95"/>
      <c r="X155" s="13"/>
      <c r="Y155" s="57"/>
      <c r="Z155" s="108"/>
      <c r="AA155" s="528"/>
      <c r="AB155" s="208"/>
      <c r="AC155" s="13"/>
      <c r="AD155" s="57"/>
      <c r="AE155" s="108"/>
      <c r="AF155" s="643"/>
      <c r="AG155" s="191"/>
      <c r="AH155" s="192"/>
      <c r="AI155" s="193"/>
      <c r="AJ155" s="190"/>
      <c r="AK155" s="91"/>
      <c r="AL155"/>
      <c r="AM155"/>
      <c r="AN155"/>
      <c r="AO155"/>
      <c r="AP155"/>
      <c r="AQ155"/>
      <c r="AR155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1:86" s="1" customFormat="1" ht="18" hidden="1" customHeight="1">
      <c r="A156" s="515"/>
      <c r="B156" s="644"/>
      <c r="C156" s="194"/>
      <c r="D156" s="195"/>
      <c r="E156" s="196"/>
      <c r="F156" s="197"/>
      <c r="G156" s="529"/>
      <c r="H156" s="95"/>
      <c r="I156" s="13"/>
      <c r="J156" s="57"/>
      <c r="K156" s="105"/>
      <c r="L156" s="529"/>
      <c r="M156" s="95"/>
      <c r="N156" s="13"/>
      <c r="O156" s="57"/>
      <c r="P156" s="104"/>
      <c r="Q156" s="529"/>
      <c r="R156" s="95"/>
      <c r="S156" s="95"/>
      <c r="T156" s="57"/>
      <c r="U156" s="105"/>
      <c r="V156" s="529"/>
      <c r="W156" s="95"/>
      <c r="X156" s="13"/>
      <c r="Y156" s="57"/>
      <c r="Z156" s="105"/>
      <c r="AA156" s="529"/>
      <c r="AB156" s="208"/>
      <c r="AC156" s="13"/>
      <c r="AD156" s="57"/>
      <c r="AE156" s="105"/>
      <c r="AF156" s="644"/>
      <c r="AG156" s="198"/>
      <c r="AH156" s="199"/>
      <c r="AI156" s="200"/>
      <c r="AJ156" s="197"/>
      <c r="AK156" s="91"/>
      <c r="AL156"/>
      <c r="AM156"/>
      <c r="AN156"/>
      <c r="AO156"/>
      <c r="AP156"/>
      <c r="AQ156"/>
      <c r="AR156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1:86" s="1" customFormat="1" ht="18" hidden="1" customHeight="1">
      <c r="A157" s="515"/>
      <c r="B157" s="644"/>
      <c r="C157" s="194"/>
      <c r="D157" s="195"/>
      <c r="E157" s="196"/>
      <c r="F157" s="197"/>
      <c r="G157" s="529"/>
      <c r="H157" s="95"/>
      <c r="I157" s="13"/>
      <c r="J157" s="57"/>
      <c r="K157" s="105"/>
      <c r="L157" s="529"/>
      <c r="M157" s="95"/>
      <c r="N157" s="13"/>
      <c r="O157" s="57"/>
      <c r="P157" s="104"/>
      <c r="Q157" s="529"/>
      <c r="R157" s="95"/>
      <c r="S157" s="95"/>
      <c r="T157" s="57"/>
      <c r="U157" s="105"/>
      <c r="V157" s="529"/>
      <c r="W157" s="95"/>
      <c r="X157" s="13"/>
      <c r="Y157" s="57"/>
      <c r="Z157" s="105"/>
      <c r="AA157" s="529"/>
      <c r="AB157" s="208"/>
      <c r="AC157" s="13"/>
      <c r="AD157" s="57"/>
      <c r="AE157" s="105"/>
      <c r="AF157" s="644"/>
      <c r="AG157" s="198"/>
      <c r="AH157" s="199"/>
      <c r="AI157" s="200"/>
      <c r="AJ157" s="197"/>
      <c r="AK157" s="91"/>
      <c r="AL157"/>
      <c r="AM157"/>
      <c r="AN157"/>
      <c r="AO157"/>
      <c r="AP157"/>
      <c r="AQ157"/>
      <c r="AR157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1:86" s="1" customFormat="1" ht="18" hidden="1" customHeight="1">
      <c r="A158" s="515"/>
      <c r="B158" s="644"/>
      <c r="C158" s="194"/>
      <c r="D158" s="195"/>
      <c r="E158" s="196"/>
      <c r="F158" s="197"/>
      <c r="G158" s="529"/>
      <c r="H158" s="95"/>
      <c r="I158" s="13"/>
      <c r="J158" s="57"/>
      <c r="K158" s="105"/>
      <c r="L158" s="529"/>
      <c r="M158" s="95"/>
      <c r="N158" s="13"/>
      <c r="O158" s="57"/>
      <c r="P158" s="104"/>
      <c r="Q158" s="529"/>
      <c r="R158" s="95"/>
      <c r="S158" s="95"/>
      <c r="T158" s="57"/>
      <c r="U158" s="105"/>
      <c r="V158" s="529"/>
      <c r="W158" s="95"/>
      <c r="X158" s="13"/>
      <c r="Y158" s="57"/>
      <c r="Z158" s="105"/>
      <c r="AA158" s="529"/>
      <c r="AB158" s="208"/>
      <c r="AC158" s="13"/>
      <c r="AD158" s="57"/>
      <c r="AE158" s="105"/>
      <c r="AF158" s="644"/>
      <c r="AG158" s="198"/>
      <c r="AH158" s="199"/>
      <c r="AI158" s="200"/>
      <c r="AJ158" s="197"/>
      <c r="AK158" s="91"/>
      <c r="AL158"/>
      <c r="AM158"/>
      <c r="AN158"/>
      <c r="AO158"/>
      <c r="AP158"/>
      <c r="AQ158"/>
      <c r="AR158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1:86" s="1" customFormat="1" ht="18" hidden="1" customHeight="1">
      <c r="A159" s="515"/>
      <c r="B159" s="644"/>
      <c r="C159" s="194"/>
      <c r="D159" s="195"/>
      <c r="E159" s="196"/>
      <c r="F159" s="197"/>
      <c r="G159" s="529"/>
      <c r="H159" s="95"/>
      <c r="I159" s="13"/>
      <c r="J159" s="57"/>
      <c r="K159" s="105"/>
      <c r="L159" s="529"/>
      <c r="M159" s="95"/>
      <c r="N159" s="13"/>
      <c r="O159" s="57"/>
      <c r="P159" s="104"/>
      <c r="Q159" s="529"/>
      <c r="R159" s="95"/>
      <c r="S159" s="95"/>
      <c r="T159" s="57"/>
      <c r="U159" s="105"/>
      <c r="V159" s="529"/>
      <c r="W159" s="95"/>
      <c r="X159" s="13"/>
      <c r="Y159" s="57"/>
      <c r="Z159" s="105"/>
      <c r="AA159" s="529"/>
      <c r="AB159" s="208"/>
      <c r="AC159" s="13"/>
      <c r="AD159" s="57"/>
      <c r="AE159" s="105"/>
      <c r="AF159" s="644"/>
      <c r="AG159" s="198"/>
      <c r="AH159" s="199"/>
      <c r="AI159" s="200"/>
      <c r="AJ159" s="197"/>
      <c r="AK159" s="91"/>
      <c r="AL159"/>
      <c r="AM159"/>
      <c r="AN159"/>
      <c r="AO159"/>
      <c r="AP159"/>
      <c r="AQ159"/>
      <c r="AR159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1:86" s="1" customFormat="1" ht="18" hidden="1" customHeight="1">
      <c r="A160" s="515"/>
      <c r="B160" s="644"/>
      <c r="C160" s="194"/>
      <c r="D160" s="195"/>
      <c r="E160" s="196"/>
      <c r="F160" s="197"/>
      <c r="G160" s="529"/>
      <c r="H160" s="95"/>
      <c r="I160" s="13"/>
      <c r="J160" s="57"/>
      <c r="K160" s="105"/>
      <c r="L160" s="529"/>
      <c r="M160" s="95"/>
      <c r="N160" s="13"/>
      <c r="O160" s="57"/>
      <c r="P160" s="104"/>
      <c r="Q160" s="529"/>
      <c r="R160" s="95"/>
      <c r="S160" s="95"/>
      <c r="T160" s="57"/>
      <c r="U160" s="105"/>
      <c r="V160" s="529"/>
      <c r="W160" s="95"/>
      <c r="X160" s="13"/>
      <c r="Y160" s="57"/>
      <c r="Z160" s="105"/>
      <c r="AA160" s="529"/>
      <c r="AB160" s="208"/>
      <c r="AC160" s="13"/>
      <c r="AD160" s="57"/>
      <c r="AE160" s="105"/>
      <c r="AF160" s="644"/>
      <c r="AG160" s="198"/>
      <c r="AH160" s="199"/>
      <c r="AI160" s="200"/>
      <c r="AJ160" s="197"/>
      <c r="AK160" s="91"/>
      <c r="AL160"/>
      <c r="AM160"/>
      <c r="AN160"/>
      <c r="AO160"/>
      <c r="AP160"/>
      <c r="AQ160"/>
      <c r="AR160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1:86" s="1" customFormat="1" ht="18" hidden="1" customHeight="1">
      <c r="A161" s="515"/>
      <c r="B161" s="644"/>
      <c r="C161" s="194"/>
      <c r="D161" s="195"/>
      <c r="E161" s="196"/>
      <c r="F161" s="197"/>
      <c r="G161" s="529"/>
      <c r="H161" s="95"/>
      <c r="I161" s="13"/>
      <c r="J161" s="57"/>
      <c r="K161" s="105"/>
      <c r="L161" s="529"/>
      <c r="M161" s="95"/>
      <c r="N161" s="13"/>
      <c r="O161" s="57"/>
      <c r="P161" s="104"/>
      <c r="Q161" s="529"/>
      <c r="R161" s="95"/>
      <c r="S161" s="95"/>
      <c r="T161" s="57"/>
      <c r="U161" s="105"/>
      <c r="V161" s="529"/>
      <c r="W161" s="95"/>
      <c r="X161" s="13"/>
      <c r="Y161" s="57"/>
      <c r="Z161" s="105"/>
      <c r="AA161" s="529"/>
      <c r="AB161" s="208"/>
      <c r="AC161" s="13"/>
      <c r="AD161" s="57"/>
      <c r="AE161" s="105"/>
      <c r="AF161" s="644"/>
      <c r="AG161" s="198"/>
      <c r="AH161" s="199"/>
      <c r="AI161" s="200"/>
      <c r="AJ161" s="197"/>
      <c r="AK161" s="91"/>
      <c r="AL161"/>
      <c r="AM161"/>
      <c r="AN161"/>
      <c r="AO161"/>
      <c r="AP161"/>
      <c r="AQ161"/>
      <c r="AR161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1:86" s="1" customFormat="1" ht="18" hidden="1" customHeight="1">
      <c r="A162" s="515"/>
      <c r="B162" s="644"/>
      <c r="C162" s="194"/>
      <c r="D162" s="195"/>
      <c r="E162" s="196"/>
      <c r="F162" s="197"/>
      <c r="G162" s="529"/>
      <c r="H162" s="95"/>
      <c r="I162" s="13"/>
      <c r="J162" s="57"/>
      <c r="K162" s="105"/>
      <c r="L162" s="529"/>
      <c r="M162" s="95"/>
      <c r="N162" s="13"/>
      <c r="O162" s="57"/>
      <c r="P162" s="104"/>
      <c r="Q162" s="529"/>
      <c r="R162" s="95"/>
      <c r="S162" s="95"/>
      <c r="T162" s="57"/>
      <c r="U162" s="105"/>
      <c r="V162" s="529"/>
      <c r="W162" s="95"/>
      <c r="X162" s="13"/>
      <c r="Y162" s="57"/>
      <c r="Z162" s="105"/>
      <c r="AA162" s="529"/>
      <c r="AB162" s="208"/>
      <c r="AC162" s="13"/>
      <c r="AD162" s="57"/>
      <c r="AE162" s="105"/>
      <c r="AF162" s="644"/>
      <c r="AG162" s="198"/>
      <c r="AH162" s="199"/>
      <c r="AI162" s="200"/>
      <c r="AJ162" s="197"/>
      <c r="AK162" s="91"/>
      <c r="AL162"/>
      <c r="AM162"/>
      <c r="AN162"/>
      <c r="AO162"/>
      <c r="AP162"/>
      <c r="AQ162"/>
      <c r="AR162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1:86" s="1" customFormat="1" ht="18" hidden="1" customHeight="1">
      <c r="A163" s="515"/>
      <c r="B163" s="644"/>
      <c r="C163" s="194"/>
      <c r="D163" s="195"/>
      <c r="E163" s="196"/>
      <c r="F163" s="197"/>
      <c r="G163" s="529"/>
      <c r="H163" s="95"/>
      <c r="I163" s="13"/>
      <c r="J163" s="57"/>
      <c r="K163" s="105"/>
      <c r="L163" s="529"/>
      <c r="M163" s="95"/>
      <c r="N163" s="13"/>
      <c r="O163" s="57"/>
      <c r="P163" s="104"/>
      <c r="Q163" s="529"/>
      <c r="R163" s="95"/>
      <c r="S163" s="95"/>
      <c r="T163" s="57"/>
      <c r="U163" s="105"/>
      <c r="V163" s="529"/>
      <c r="W163" s="95"/>
      <c r="X163" s="13"/>
      <c r="Y163" s="57"/>
      <c r="Z163" s="105"/>
      <c r="AA163" s="529"/>
      <c r="AB163" s="208"/>
      <c r="AC163" s="13"/>
      <c r="AD163" s="57"/>
      <c r="AE163" s="105"/>
      <c r="AF163" s="644"/>
      <c r="AG163" s="198"/>
      <c r="AH163" s="199"/>
      <c r="AI163" s="200"/>
      <c r="AJ163" s="197"/>
      <c r="AK163" s="91"/>
      <c r="AL163"/>
      <c r="AM163"/>
      <c r="AN163"/>
      <c r="AO163"/>
      <c r="AP163"/>
      <c r="AQ163"/>
      <c r="AR163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1:86" s="1" customFormat="1" ht="18" hidden="1" customHeight="1">
      <c r="A164" s="515"/>
      <c r="B164" s="644"/>
      <c r="C164" s="194"/>
      <c r="D164" s="195"/>
      <c r="E164" s="196"/>
      <c r="F164" s="197"/>
      <c r="G164" s="529"/>
      <c r="H164" s="95"/>
      <c r="I164" s="13"/>
      <c r="J164" s="57"/>
      <c r="K164" s="105"/>
      <c r="L164" s="529"/>
      <c r="M164" s="95"/>
      <c r="N164" s="13"/>
      <c r="O164" s="57"/>
      <c r="P164" s="104"/>
      <c r="Q164" s="529"/>
      <c r="R164" s="95"/>
      <c r="S164" s="95"/>
      <c r="T164" s="57"/>
      <c r="U164" s="105"/>
      <c r="V164" s="529"/>
      <c r="W164" s="95"/>
      <c r="X164" s="13"/>
      <c r="Y164" s="57"/>
      <c r="Z164" s="105"/>
      <c r="AA164" s="529"/>
      <c r="AB164" s="208"/>
      <c r="AC164" s="13"/>
      <c r="AD164" s="57"/>
      <c r="AE164" s="105"/>
      <c r="AF164" s="644"/>
      <c r="AG164" s="198"/>
      <c r="AH164" s="199"/>
      <c r="AI164" s="200"/>
      <c r="AJ164" s="197"/>
      <c r="AK164" s="91"/>
      <c r="AL164"/>
      <c r="AM164"/>
      <c r="AN164"/>
      <c r="AO164"/>
      <c r="AP164"/>
      <c r="AQ164"/>
      <c r="AR16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1:86" s="1" customFormat="1" ht="18" hidden="1" customHeight="1">
      <c r="A165" s="515"/>
      <c r="B165" s="644"/>
      <c r="C165" s="194"/>
      <c r="D165" s="195"/>
      <c r="E165" s="196"/>
      <c r="F165" s="197"/>
      <c r="G165" s="529"/>
      <c r="H165" s="95"/>
      <c r="I165" s="13"/>
      <c r="J165" s="57"/>
      <c r="K165" s="105"/>
      <c r="L165" s="529"/>
      <c r="M165" s="95"/>
      <c r="N165" s="13"/>
      <c r="O165" s="57"/>
      <c r="P165" s="104"/>
      <c r="Q165" s="529"/>
      <c r="R165" s="95"/>
      <c r="S165" s="95"/>
      <c r="T165" s="57"/>
      <c r="U165" s="105"/>
      <c r="V165" s="529"/>
      <c r="W165" s="95"/>
      <c r="X165" s="13"/>
      <c r="Y165" s="57"/>
      <c r="Z165" s="105"/>
      <c r="AA165" s="529"/>
      <c r="AB165" s="208"/>
      <c r="AC165" s="13"/>
      <c r="AD165" s="57"/>
      <c r="AE165" s="105"/>
      <c r="AF165" s="644"/>
      <c r="AG165" s="198"/>
      <c r="AH165" s="199"/>
      <c r="AI165" s="200"/>
      <c r="AJ165" s="197"/>
      <c r="AK165" s="91"/>
      <c r="AL165"/>
      <c r="AM165"/>
      <c r="AN165"/>
      <c r="AO165"/>
      <c r="AP165"/>
      <c r="AQ165"/>
      <c r="AR165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1:86" s="1" customFormat="1" ht="18" hidden="1" customHeight="1">
      <c r="A166" s="515"/>
      <c r="B166" s="644"/>
      <c r="C166" s="194"/>
      <c r="D166" s="195"/>
      <c r="E166" s="196"/>
      <c r="F166" s="197"/>
      <c r="G166" s="529"/>
      <c r="H166" s="95"/>
      <c r="I166" s="13"/>
      <c r="J166" s="57"/>
      <c r="K166" s="105"/>
      <c r="L166" s="529"/>
      <c r="M166" s="95"/>
      <c r="N166" s="13"/>
      <c r="O166" s="57"/>
      <c r="P166" s="104"/>
      <c r="Q166" s="529"/>
      <c r="R166" s="95"/>
      <c r="S166" s="95"/>
      <c r="T166" s="57"/>
      <c r="U166" s="105"/>
      <c r="V166" s="529"/>
      <c r="W166" s="95"/>
      <c r="X166" s="13"/>
      <c r="Y166" s="57"/>
      <c r="Z166" s="105"/>
      <c r="AA166" s="529"/>
      <c r="AB166" s="208"/>
      <c r="AC166" s="13"/>
      <c r="AD166" s="57"/>
      <c r="AE166" s="105"/>
      <c r="AF166" s="644"/>
      <c r="AG166" s="198"/>
      <c r="AH166" s="199"/>
      <c r="AI166" s="200"/>
      <c r="AJ166" s="197"/>
      <c r="AK166" s="91"/>
      <c r="AL166"/>
      <c r="AM166"/>
      <c r="AN166"/>
      <c r="AO166"/>
      <c r="AP166"/>
      <c r="AQ166"/>
      <c r="AR166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1:86" s="1" customFormat="1" ht="18" hidden="1" customHeight="1">
      <c r="A167" s="515"/>
      <c r="B167" s="644"/>
      <c r="C167" s="194"/>
      <c r="D167" s="195"/>
      <c r="E167" s="196"/>
      <c r="F167" s="197"/>
      <c r="G167" s="529"/>
      <c r="H167" s="95"/>
      <c r="I167" s="13"/>
      <c r="J167" s="57"/>
      <c r="K167" s="105"/>
      <c r="L167" s="529"/>
      <c r="M167" s="95"/>
      <c r="N167" s="13"/>
      <c r="O167" s="57"/>
      <c r="P167" s="104"/>
      <c r="Q167" s="529"/>
      <c r="R167" s="95"/>
      <c r="S167" s="95"/>
      <c r="T167" s="57"/>
      <c r="U167" s="105"/>
      <c r="V167" s="529"/>
      <c r="W167" s="95"/>
      <c r="X167" s="13"/>
      <c r="Y167" s="57"/>
      <c r="Z167" s="105"/>
      <c r="AA167" s="529"/>
      <c r="AB167" s="208"/>
      <c r="AC167" s="13"/>
      <c r="AD167" s="57"/>
      <c r="AE167" s="105"/>
      <c r="AF167" s="644"/>
      <c r="AG167" s="198"/>
      <c r="AH167" s="199"/>
      <c r="AI167" s="200"/>
      <c r="AJ167" s="197"/>
      <c r="AK167" s="91"/>
      <c r="AL167"/>
      <c r="AM167"/>
      <c r="AN167"/>
      <c r="AO167"/>
      <c r="AP167"/>
      <c r="AQ167"/>
      <c r="AR167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1:86" s="1" customFormat="1" ht="18" hidden="1" customHeight="1">
      <c r="A168" s="515"/>
      <c r="B168" s="644"/>
      <c r="C168" s="194"/>
      <c r="D168" s="195"/>
      <c r="E168" s="196"/>
      <c r="F168" s="197"/>
      <c r="G168" s="529"/>
      <c r="H168" s="95"/>
      <c r="I168" s="13"/>
      <c r="J168" s="57"/>
      <c r="K168" s="105"/>
      <c r="L168" s="529"/>
      <c r="M168" s="95"/>
      <c r="N168" s="13"/>
      <c r="O168" s="57"/>
      <c r="P168" s="104"/>
      <c r="Q168" s="529"/>
      <c r="R168" s="95"/>
      <c r="S168" s="95"/>
      <c r="T168" s="57"/>
      <c r="U168" s="105"/>
      <c r="V168" s="529"/>
      <c r="W168" s="95"/>
      <c r="X168" s="13"/>
      <c r="Y168" s="57"/>
      <c r="Z168" s="105"/>
      <c r="AA168" s="529"/>
      <c r="AB168" s="208"/>
      <c r="AC168" s="13"/>
      <c r="AD168" s="57"/>
      <c r="AE168" s="105"/>
      <c r="AF168" s="644"/>
      <c r="AG168" s="198"/>
      <c r="AH168" s="199"/>
      <c r="AI168" s="200"/>
      <c r="AJ168" s="197"/>
      <c r="AK168" s="91"/>
      <c r="AL168"/>
      <c r="AM168"/>
      <c r="AN168"/>
      <c r="AO168"/>
      <c r="AP168"/>
      <c r="AQ168"/>
      <c r="AR168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1:86" s="1" customFormat="1" ht="18" hidden="1" customHeight="1">
      <c r="A169" s="593"/>
      <c r="B169" s="645"/>
      <c r="C169" s="201"/>
      <c r="D169" s="202"/>
      <c r="E169" s="203"/>
      <c r="F169" s="204"/>
      <c r="G169" s="530"/>
      <c r="H169" s="95"/>
      <c r="I169" s="13"/>
      <c r="J169" s="57"/>
      <c r="K169" s="107"/>
      <c r="L169" s="530"/>
      <c r="M169" s="95"/>
      <c r="N169" s="13"/>
      <c r="O169" s="57"/>
      <c r="P169" s="106"/>
      <c r="Q169" s="530"/>
      <c r="R169" s="95"/>
      <c r="S169" s="95"/>
      <c r="T169" s="57"/>
      <c r="U169" s="107"/>
      <c r="V169" s="530"/>
      <c r="W169" s="95"/>
      <c r="X169" s="13"/>
      <c r="Y169" s="57"/>
      <c r="Z169" s="107"/>
      <c r="AA169" s="530"/>
      <c r="AB169" s="208"/>
      <c r="AC169" s="13"/>
      <c r="AD169" s="57"/>
      <c r="AE169" s="107"/>
      <c r="AF169" s="645"/>
      <c r="AG169" s="205"/>
      <c r="AH169" s="206"/>
      <c r="AI169" s="207"/>
      <c r="AJ169" s="204"/>
      <c r="AK169" s="91"/>
      <c r="AL169"/>
      <c r="AM169"/>
      <c r="AN169"/>
      <c r="AO169"/>
      <c r="AP169"/>
      <c r="AQ169"/>
      <c r="AR169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1:86" s="1" customFormat="1" ht="18" hidden="1" customHeight="1">
      <c r="A170" s="592" t="s">
        <v>57</v>
      </c>
      <c r="B170" s="643"/>
      <c r="C170" s="187"/>
      <c r="D170" s="188"/>
      <c r="E170" s="189"/>
      <c r="F170" s="190"/>
      <c r="G170" s="528"/>
      <c r="H170" s="95"/>
      <c r="I170" s="13"/>
      <c r="J170" s="57"/>
      <c r="K170" s="108"/>
      <c r="L170" s="528"/>
      <c r="M170" s="95"/>
      <c r="N170" s="13"/>
      <c r="O170" s="57"/>
      <c r="P170" s="110"/>
      <c r="Q170" s="528"/>
      <c r="R170" s="95"/>
      <c r="S170" s="95"/>
      <c r="T170" s="57"/>
      <c r="U170" s="108"/>
      <c r="V170" s="528"/>
      <c r="W170" s="95"/>
      <c r="X170" s="13"/>
      <c r="Y170" s="57"/>
      <c r="Z170" s="108"/>
      <c r="AA170" s="528"/>
      <c r="AB170" s="208"/>
      <c r="AC170" s="13"/>
      <c r="AD170" s="57"/>
      <c r="AE170" s="108"/>
      <c r="AF170" s="643"/>
      <c r="AG170" s="191"/>
      <c r="AH170" s="192"/>
      <c r="AI170" s="193"/>
      <c r="AJ170" s="190"/>
      <c r="AK170" s="91"/>
      <c r="AL170"/>
      <c r="AM170"/>
      <c r="AN170"/>
      <c r="AO170"/>
      <c r="AP170"/>
      <c r="AQ170"/>
      <c r="AR170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4"/>
      <c r="BZ170" s="224"/>
      <c r="CA170" s="224"/>
      <c r="CB170" s="224"/>
      <c r="CC170" s="224"/>
      <c r="CD170" s="224"/>
      <c r="CE170" s="224"/>
      <c r="CF170" s="224"/>
      <c r="CG170" s="224"/>
      <c r="CH170" s="224"/>
    </row>
    <row r="171" spans="1:86" s="1" customFormat="1" ht="18" hidden="1" customHeight="1">
      <c r="A171" s="515"/>
      <c r="B171" s="644"/>
      <c r="C171" s="194"/>
      <c r="D171" s="195"/>
      <c r="E171" s="196"/>
      <c r="F171" s="197"/>
      <c r="G171" s="529"/>
      <c r="H171" s="95"/>
      <c r="I171" s="13"/>
      <c r="J171" s="57"/>
      <c r="K171" s="105"/>
      <c r="L171" s="529"/>
      <c r="M171" s="95"/>
      <c r="N171" s="13"/>
      <c r="O171" s="57"/>
      <c r="P171" s="104"/>
      <c r="Q171" s="529"/>
      <c r="R171" s="95"/>
      <c r="S171" s="95"/>
      <c r="T171" s="57"/>
      <c r="U171" s="105"/>
      <c r="V171" s="529"/>
      <c r="W171" s="95"/>
      <c r="X171" s="13"/>
      <c r="Y171" s="57"/>
      <c r="Z171" s="105"/>
      <c r="AA171" s="529"/>
      <c r="AB171" s="208"/>
      <c r="AC171" s="13"/>
      <c r="AD171" s="57"/>
      <c r="AE171" s="105"/>
      <c r="AF171" s="644"/>
      <c r="AG171" s="198"/>
      <c r="AH171" s="199"/>
      <c r="AI171" s="200"/>
      <c r="AJ171" s="197"/>
      <c r="AK171" s="91"/>
      <c r="AL171"/>
      <c r="AM171"/>
      <c r="AN171"/>
      <c r="AO171"/>
      <c r="AP171"/>
      <c r="AQ171"/>
      <c r="AR171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  <c r="BP171" s="224"/>
      <c r="BQ171" s="224"/>
      <c r="BR171" s="224"/>
      <c r="BS171" s="224"/>
      <c r="BT171" s="224"/>
      <c r="BU171" s="224"/>
      <c r="BV171" s="224"/>
      <c r="BW171" s="224"/>
      <c r="BX171" s="224"/>
      <c r="BY171" s="224"/>
      <c r="BZ171" s="224"/>
      <c r="CA171" s="224"/>
      <c r="CB171" s="224"/>
      <c r="CC171" s="224"/>
      <c r="CD171" s="224"/>
      <c r="CE171" s="224"/>
      <c r="CF171" s="224"/>
      <c r="CG171" s="224"/>
      <c r="CH171" s="224"/>
    </row>
    <row r="172" spans="1:86" s="1" customFormat="1" ht="18" hidden="1" customHeight="1">
      <c r="A172" s="515"/>
      <c r="B172" s="644"/>
      <c r="C172" s="194"/>
      <c r="D172" s="195"/>
      <c r="E172" s="196"/>
      <c r="F172" s="197"/>
      <c r="G172" s="529"/>
      <c r="H172" s="95"/>
      <c r="I172" s="13"/>
      <c r="J172" s="57"/>
      <c r="K172" s="105"/>
      <c r="L172" s="529"/>
      <c r="M172" s="95"/>
      <c r="N172" s="13"/>
      <c r="O172" s="57"/>
      <c r="P172" s="104"/>
      <c r="Q172" s="529"/>
      <c r="R172" s="95"/>
      <c r="S172" s="95"/>
      <c r="T172" s="57"/>
      <c r="U172" s="105"/>
      <c r="V172" s="529"/>
      <c r="W172" s="95"/>
      <c r="X172" s="13"/>
      <c r="Y172" s="57"/>
      <c r="Z172" s="105"/>
      <c r="AA172" s="529"/>
      <c r="AB172" s="208"/>
      <c r="AC172" s="13"/>
      <c r="AD172" s="57"/>
      <c r="AE172" s="105"/>
      <c r="AF172" s="644"/>
      <c r="AG172" s="198"/>
      <c r="AH172" s="199"/>
      <c r="AI172" s="200"/>
      <c r="AJ172" s="197"/>
      <c r="AK172" s="91"/>
      <c r="AL172"/>
      <c r="AM172"/>
      <c r="AN172"/>
      <c r="AO172"/>
      <c r="AP172"/>
      <c r="AQ172"/>
      <c r="AR172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  <c r="BP172" s="224"/>
      <c r="BQ172" s="224"/>
      <c r="BR172" s="224"/>
      <c r="BS172" s="224"/>
      <c r="BT172" s="224"/>
      <c r="BU172" s="224"/>
      <c r="BV172" s="224"/>
      <c r="BW172" s="224"/>
      <c r="BX172" s="224"/>
      <c r="BY172" s="224"/>
      <c r="BZ172" s="224"/>
      <c r="CA172" s="224"/>
      <c r="CB172" s="224"/>
      <c r="CC172" s="224"/>
      <c r="CD172" s="224"/>
      <c r="CE172" s="224"/>
      <c r="CF172" s="224"/>
      <c r="CG172" s="224"/>
      <c r="CH172" s="224"/>
    </row>
    <row r="173" spans="1:86" s="1" customFormat="1" ht="18" hidden="1" customHeight="1">
      <c r="A173" s="515"/>
      <c r="B173" s="644"/>
      <c r="C173" s="194"/>
      <c r="D173" s="195"/>
      <c r="E173" s="196"/>
      <c r="F173" s="197"/>
      <c r="G173" s="529"/>
      <c r="H173" s="95"/>
      <c r="I173" s="13"/>
      <c r="J173" s="57"/>
      <c r="K173" s="105"/>
      <c r="L173" s="529"/>
      <c r="M173" s="95"/>
      <c r="N173" s="13"/>
      <c r="O173" s="57"/>
      <c r="P173" s="104"/>
      <c r="Q173" s="529"/>
      <c r="R173" s="95"/>
      <c r="S173" s="95"/>
      <c r="T173" s="57"/>
      <c r="U173" s="105"/>
      <c r="V173" s="529"/>
      <c r="W173" s="95"/>
      <c r="X173" s="13"/>
      <c r="Y173" s="57"/>
      <c r="Z173" s="105"/>
      <c r="AA173" s="529"/>
      <c r="AB173" s="208"/>
      <c r="AC173" s="13"/>
      <c r="AD173" s="57"/>
      <c r="AE173" s="105"/>
      <c r="AF173" s="644"/>
      <c r="AG173" s="198"/>
      <c r="AH173" s="199"/>
      <c r="AI173" s="200"/>
      <c r="AJ173" s="197"/>
      <c r="AK173" s="91"/>
      <c r="AL173"/>
      <c r="AM173"/>
      <c r="AN173"/>
      <c r="AO173"/>
      <c r="AP173"/>
      <c r="AQ173"/>
      <c r="AR173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4"/>
      <c r="BW173" s="224"/>
      <c r="BX173" s="224"/>
      <c r="BY173" s="224"/>
      <c r="BZ173" s="224"/>
      <c r="CA173" s="224"/>
      <c r="CB173" s="224"/>
      <c r="CC173" s="224"/>
      <c r="CD173" s="224"/>
      <c r="CE173" s="224"/>
      <c r="CF173" s="224"/>
      <c r="CG173" s="224"/>
      <c r="CH173" s="224"/>
    </row>
    <row r="174" spans="1:86" s="1" customFormat="1" ht="18" hidden="1" customHeight="1">
      <c r="A174" s="515"/>
      <c r="B174" s="644"/>
      <c r="C174" s="194"/>
      <c r="D174" s="195"/>
      <c r="E174" s="196"/>
      <c r="F174" s="197"/>
      <c r="G174" s="529"/>
      <c r="H174" s="95"/>
      <c r="I174" s="13"/>
      <c r="J174" s="57"/>
      <c r="K174" s="105"/>
      <c r="L174" s="529"/>
      <c r="M174" s="95"/>
      <c r="N174" s="13"/>
      <c r="O174" s="57"/>
      <c r="P174" s="104"/>
      <c r="Q174" s="529"/>
      <c r="R174" s="95"/>
      <c r="S174" s="95"/>
      <c r="T174" s="57"/>
      <c r="U174" s="105"/>
      <c r="V174" s="529"/>
      <c r="W174" s="95"/>
      <c r="X174" s="13"/>
      <c r="Y174" s="57"/>
      <c r="Z174" s="105"/>
      <c r="AA174" s="529"/>
      <c r="AB174" s="208"/>
      <c r="AC174" s="13"/>
      <c r="AD174" s="57"/>
      <c r="AE174" s="105"/>
      <c r="AF174" s="644"/>
      <c r="AG174" s="198"/>
      <c r="AH174" s="199"/>
      <c r="AI174" s="200"/>
      <c r="AJ174" s="197"/>
      <c r="AK174" s="91"/>
      <c r="AL174"/>
      <c r="AM174"/>
      <c r="AN174"/>
      <c r="AO174"/>
      <c r="AP174"/>
      <c r="AQ174"/>
      <c r="AR17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224"/>
      <c r="BO174" s="224"/>
      <c r="BP174" s="224"/>
      <c r="BQ174" s="224"/>
      <c r="BR174" s="224"/>
      <c r="BS174" s="224"/>
      <c r="BT174" s="224"/>
      <c r="BU174" s="224"/>
      <c r="BV174" s="224"/>
      <c r="BW174" s="224"/>
      <c r="BX174" s="224"/>
      <c r="BY174" s="224"/>
      <c r="BZ174" s="224"/>
      <c r="CA174" s="224"/>
      <c r="CB174" s="224"/>
      <c r="CC174" s="224"/>
      <c r="CD174" s="224"/>
      <c r="CE174" s="224"/>
      <c r="CF174" s="224"/>
      <c r="CG174" s="224"/>
      <c r="CH174" s="224"/>
    </row>
    <row r="175" spans="1:86" s="1" customFormat="1" ht="18" hidden="1" customHeight="1">
      <c r="A175" s="515"/>
      <c r="B175" s="644"/>
      <c r="C175" s="194"/>
      <c r="D175" s="195"/>
      <c r="E175" s="196"/>
      <c r="F175" s="197"/>
      <c r="G175" s="529"/>
      <c r="H175" s="95"/>
      <c r="I175" s="13"/>
      <c r="J175" s="57"/>
      <c r="K175" s="105"/>
      <c r="L175" s="529"/>
      <c r="M175" s="95"/>
      <c r="N175" s="13"/>
      <c r="O175" s="57"/>
      <c r="P175" s="104"/>
      <c r="Q175" s="529"/>
      <c r="R175" s="95"/>
      <c r="S175" s="95"/>
      <c r="T175" s="57"/>
      <c r="U175" s="105"/>
      <c r="V175" s="529"/>
      <c r="W175" s="95"/>
      <c r="X175" s="13"/>
      <c r="Y175" s="57"/>
      <c r="Z175" s="105"/>
      <c r="AA175" s="529"/>
      <c r="AB175" s="208"/>
      <c r="AC175" s="13"/>
      <c r="AD175" s="57"/>
      <c r="AE175" s="105"/>
      <c r="AF175" s="644"/>
      <c r="AG175" s="198"/>
      <c r="AH175" s="199"/>
      <c r="AI175" s="200"/>
      <c r="AJ175" s="197"/>
      <c r="AK175" s="91"/>
      <c r="AL175"/>
      <c r="AM175"/>
      <c r="AN175"/>
      <c r="AO175"/>
      <c r="AP175"/>
      <c r="AQ175"/>
      <c r="AR175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224"/>
      <c r="BO175" s="224"/>
      <c r="BP175" s="224"/>
      <c r="BQ175" s="224"/>
      <c r="BR175" s="224"/>
      <c r="BS175" s="224"/>
      <c r="BT175" s="224"/>
      <c r="BU175" s="224"/>
      <c r="BV175" s="224"/>
      <c r="BW175" s="224"/>
      <c r="BX175" s="224"/>
      <c r="BY175" s="224"/>
      <c r="BZ175" s="224"/>
      <c r="CA175" s="224"/>
      <c r="CB175" s="224"/>
      <c r="CC175" s="224"/>
      <c r="CD175" s="224"/>
      <c r="CE175" s="224"/>
      <c r="CF175" s="224"/>
      <c r="CG175" s="224"/>
      <c r="CH175" s="224"/>
    </row>
    <row r="176" spans="1:86" s="1" customFormat="1" ht="18" hidden="1" customHeight="1">
      <c r="A176" s="515"/>
      <c r="B176" s="644"/>
      <c r="C176" s="194"/>
      <c r="D176" s="195"/>
      <c r="E176" s="196"/>
      <c r="F176" s="197"/>
      <c r="G176" s="529"/>
      <c r="H176" s="95"/>
      <c r="I176" s="13"/>
      <c r="J176" s="57"/>
      <c r="K176" s="105"/>
      <c r="L176" s="529"/>
      <c r="M176" s="95"/>
      <c r="N176" s="13"/>
      <c r="O176" s="57"/>
      <c r="P176" s="104"/>
      <c r="Q176" s="529"/>
      <c r="R176" s="95"/>
      <c r="S176" s="95"/>
      <c r="T176" s="57"/>
      <c r="U176" s="105"/>
      <c r="V176" s="529"/>
      <c r="W176" s="95"/>
      <c r="X176" s="13"/>
      <c r="Y176" s="57"/>
      <c r="Z176" s="105"/>
      <c r="AA176" s="529"/>
      <c r="AB176" s="208"/>
      <c r="AC176" s="13"/>
      <c r="AD176" s="57"/>
      <c r="AE176" s="105"/>
      <c r="AF176" s="644"/>
      <c r="AG176" s="198"/>
      <c r="AH176" s="199"/>
      <c r="AI176" s="200"/>
      <c r="AJ176" s="197"/>
      <c r="AK176" s="91"/>
      <c r="AL176"/>
      <c r="AM176"/>
      <c r="AN176"/>
      <c r="AO176"/>
      <c r="AP176"/>
      <c r="AQ176"/>
      <c r="AR176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4"/>
      <c r="BN176" s="224"/>
      <c r="BO176" s="224"/>
      <c r="BP176" s="224"/>
      <c r="BQ176" s="224"/>
      <c r="BR176" s="224"/>
      <c r="BS176" s="224"/>
      <c r="BT176" s="224"/>
      <c r="BU176" s="224"/>
      <c r="BV176" s="224"/>
      <c r="BW176" s="224"/>
      <c r="BX176" s="224"/>
      <c r="BY176" s="224"/>
      <c r="BZ176" s="224"/>
      <c r="CA176" s="224"/>
      <c r="CB176" s="224"/>
      <c r="CC176" s="224"/>
      <c r="CD176" s="224"/>
      <c r="CE176" s="224"/>
      <c r="CF176" s="224"/>
      <c r="CG176" s="224"/>
      <c r="CH176" s="224"/>
    </row>
    <row r="177" spans="1:86" s="1" customFormat="1" ht="18" hidden="1" customHeight="1">
      <c r="A177" s="515"/>
      <c r="B177" s="644"/>
      <c r="C177" s="194"/>
      <c r="D177" s="195"/>
      <c r="E177" s="196"/>
      <c r="F177" s="197"/>
      <c r="G177" s="529"/>
      <c r="H177" s="95"/>
      <c r="I177" s="13"/>
      <c r="J177" s="57"/>
      <c r="K177" s="105"/>
      <c r="L177" s="529"/>
      <c r="M177" s="95"/>
      <c r="N177" s="13"/>
      <c r="O177" s="57"/>
      <c r="P177" s="104"/>
      <c r="Q177" s="529"/>
      <c r="R177" s="95"/>
      <c r="S177" s="95"/>
      <c r="T177" s="57"/>
      <c r="U177" s="105"/>
      <c r="V177" s="529"/>
      <c r="W177" s="95"/>
      <c r="X177" s="13"/>
      <c r="Y177" s="57"/>
      <c r="Z177" s="105"/>
      <c r="AA177" s="529"/>
      <c r="AB177" s="208"/>
      <c r="AC177" s="13"/>
      <c r="AD177" s="57"/>
      <c r="AE177" s="105"/>
      <c r="AF177" s="644"/>
      <c r="AG177" s="198"/>
      <c r="AH177" s="199"/>
      <c r="AI177" s="200"/>
      <c r="AJ177" s="197"/>
      <c r="AK177" s="91"/>
      <c r="AL177"/>
      <c r="AM177"/>
      <c r="AN177"/>
      <c r="AO177"/>
      <c r="AP177"/>
      <c r="AQ177"/>
      <c r="AR177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4"/>
      <c r="BN177" s="224"/>
      <c r="BO177" s="224"/>
      <c r="BP177" s="224"/>
      <c r="BQ177" s="224"/>
      <c r="BR177" s="224"/>
      <c r="BS177" s="224"/>
      <c r="BT177" s="224"/>
      <c r="BU177" s="224"/>
      <c r="BV177" s="224"/>
      <c r="BW177" s="224"/>
      <c r="BX177" s="224"/>
      <c r="BY177" s="224"/>
      <c r="BZ177" s="224"/>
      <c r="CA177" s="224"/>
      <c r="CB177" s="224"/>
      <c r="CC177" s="224"/>
      <c r="CD177" s="224"/>
      <c r="CE177" s="224"/>
      <c r="CF177" s="224"/>
      <c r="CG177" s="224"/>
      <c r="CH177" s="224"/>
    </row>
    <row r="178" spans="1:86" s="1" customFormat="1" ht="18" hidden="1" customHeight="1">
      <c r="A178" s="515"/>
      <c r="B178" s="644"/>
      <c r="C178" s="194"/>
      <c r="D178" s="195"/>
      <c r="E178" s="196"/>
      <c r="F178" s="197"/>
      <c r="G178" s="529"/>
      <c r="H178" s="95"/>
      <c r="I178" s="13"/>
      <c r="J178" s="57"/>
      <c r="K178" s="105"/>
      <c r="L178" s="529"/>
      <c r="M178" s="95"/>
      <c r="N178" s="13"/>
      <c r="O178" s="57"/>
      <c r="P178" s="104"/>
      <c r="Q178" s="529"/>
      <c r="R178" s="95"/>
      <c r="S178" s="95"/>
      <c r="T178" s="57"/>
      <c r="U178" s="105"/>
      <c r="V178" s="529"/>
      <c r="W178" s="95"/>
      <c r="X178" s="13"/>
      <c r="Y178" s="57"/>
      <c r="Z178" s="105"/>
      <c r="AA178" s="529"/>
      <c r="AB178" s="208"/>
      <c r="AC178" s="13"/>
      <c r="AD178" s="57"/>
      <c r="AE178" s="105"/>
      <c r="AF178" s="644"/>
      <c r="AG178" s="198"/>
      <c r="AH178" s="199"/>
      <c r="AI178" s="200"/>
      <c r="AJ178" s="197"/>
      <c r="AK178" s="91"/>
      <c r="AL178"/>
      <c r="AM178"/>
      <c r="AN178"/>
      <c r="AO178"/>
      <c r="AP178"/>
      <c r="AQ178"/>
      <c r="AR178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</row>
    <row r="179" spans="1:86" s="1" customFormat="1" ht="18" hidden="1" customHeight="1">
      <c r="A179" s="515"/>
      <c r="B179" s="644"/>
      <c r="C179" s="194"/>
      <c r="D179" s="195"/>
      <c r="E179" s="196"/>
      <c r="F179" s="197"/>
      <c r="G179" s="529"/>
      <c r="H179" s="95"/>
      <c r="I179" s="13"/>
      <c r="J179" s="57"/>
      <c r="K179" s="105"/>
      <c r="L179" s="529"/>
      <c r="M179" s="95"/>
      <c r="N179" s="13"/>
      <c r="O179" s="57"/>
      <c r="P179" s="104"/>
      <c r="Q179" s="529"/>
      <c r="R179" s="95"/>
      <c r="S179" s="95"/>
      <c r="T179" s="57"/>
      <c r="U179" s="105"/>
      <c r="V179" s="529"/>
      <c r="W179" s="95"/>
      <c r="X179" s="13"/>
      <c r="Y179" s="57"/>
      <c r="Z179" s="105"/>
      <c r="AA179" s="529"/>
      <c r="AB179" s="208"/>
      <c r="AC179" s="13"/>
      <c r="AD179" s="57"/>
      <c r="AE179" s="105"/>
      <c r="AF179" s="644"/>
      <c r="AG179" s="198"/>
      <c r="AH179" s="199"/>
      <c r="AI179" s="200"/>
      <c r="AJ179" s="197"/>
      <c r="AK179" s="91"/>
      <c r="AL179"/>
      <c r="AM179"/>
      <c r="AN179"/>
      <c r="AO179"/>
      <c r="AP179"/>
      <c r="AQ179"/>
      <c r="AR179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4"/>
      <c r="BN179" s="224"/>
      <c r="BO179" s="224"/>
      <c r="BP179" s="224"/>
      <c r="BQ179" s="224"/>
      <c r="BR179" s="224"/>
      <c r="BS179" s="224"/>
      <c r="BT179" s="224"/>
      <c r="BU179" s="224"/>
      <c r="BV179" s="224"/>
      <c r="BW179" s="224"/>
      <c r="BX179" s="224"/>
      <c r="BY179" s="224"/>
      <c r="BZ179" s="224"/>
      <c r="CA179" s="224"/>
      <c r="CB179" s="224"/>
      <c r="CC179" s="224"/>
      <c r="CD179" s="224"/>
      <c r="CE179" s="224"/>
      <c r="CF179" s="224"/>
      <c r="CG179" s="224"/>
      <c r="CH179" s="224"/>
    </row>
    <row r="180" spans="1:86" s="1" customFormat="1" ht="18" hidden="1" customHeight="1">
      <c r="A180" s="515"/>
      <c r="B180" s="644"/>
      <c r="C180" s="194"/>
      <c r="D180" s="195"/>
      <c r="E180" s="196"/>
      <c r="F180" s="197"/>
      <c r="G180" s="529"/>
      <c r="H180" s="95"/>
      <c r="I180" s="13"/>
      <c r="J180" s="57"/>
      <c r="K180" s="105"/>
      <c r="L180" s="529"/>
      <c r="M180" s="95"/>
      <c r="N180" s="13"/>
      <c r="O180" s="57"/>
      <c r="P180" s="104"/>
      <c r="Q180" s="529"/>
      <c r="R180" s="95"/>
      <c r="S180" s="95"/>
      <c r="T180" s="57"/>
      <c r="U180" s="105"/>
      <c r="V180" s="529"/>
      <c r="W180" s="95"/>
      <c r="X180" s="13"/>
      <c r="Y180" s="57"/>
      <c r="Z180" s="105"/>
      <c r="AA180" s="529"/>
      <c r="AB180" s="208"/>
      <c r="AC180" s="13"/>
      <c r="AD180" s="57"/>
      <c r="AE180" s="105"/>
      <c r="AF180" s="644"/>
      <c r="AG180" s="198"/>
      <c r="AH180" s="199"/>
      <c r="AI180" s="200"/>
      <c r="AJ180" s="197"/>
      <c r="AK180" s="91"/>
      <c r="AL180"/>
      <c r="AM180"/>
      <c r="AN180"/>
      <c r="AO180"/>
      <c r="AP180"/>
      <c r="AQ180"/>
      <c r="AR180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4"/>
      <c r="BC180" s="224"/>
      <c r="BD180" s="224"/>
      <c r="BE180" s="224"/>
      <c r="BF180" s="224"/>
      <c r="BG180" s="224"/>
      <c r="BH180" s="224"/>
      <c r="BI180" s="224"/>
      <c r="BJ180" s="224"/>
      <c r="BK180" s="224"/>
      <c r="BL180" s="224"/>
      <c r="BM180" s="224"/>
      <c r="BN180" s="224"/>
      <c r="BO180" s="224"/>
      <c r="BP180" s="224"/>
      <c r="BQ180" s="224"/>
      <c r="BR180" s="224"/>
      <c r="BS180" s="224"/>
      <c r="BT180" s="224"/>
      <c r="BU180" s="224"/>
      <c r="BV180" s="224"/>
      <c r="BW180" s="224"/>
      <c r="BX180" s="224"/>
      <c r="BY180" s="224"/>
      <c r="BZ180" s="224"/>
      <c r="CA180" s="224"/>
      <c r="CB180" s="224"/>
      <c r="CC180" s="224"/>
      <c r="CD180" s="224"/>
      <c r="CE180" s="224"/>
      <c r="CF180" s="224"/>
      <c r="CG180" s="224"/>
      <c r="CH180" s="224"/>
    </row>
    <row r="181" spans="1:86" s="1" customFormat="1" ht="18" hidden="1" customHeight="1">
      <c r="A181" s="515"/>
      <c r="B181" s="644"/>
      <c r="C181" s="194"/>
      <c r="D181" s="195"/>
      <c r="E181" s="196"/>
      <c r="F181" s="197"/>
      <c r="G181" s="529"/>
      <c r="H181" s="95"/>
      <c r="I181" s="13"/>
      <c r="J181" s="57"/>
      <c r="K181" s="105"/>
      <c r="L181" s="529"/>
      <c r="M181" s="95"/>
      <c r="N181" s="13"/>
      <c r="O181" s="57"/>
      <c r="P181" s="104"/>
      <c r="Q181" s="529"/>
      <c r="R181" s="95"/>
      <c r="S181" s="95"/>
      <c r="T181" s="57"/>
      <c r="U181" s="105"/>
      <c r="V181" s="529"/>
      <c r="W181" s="95"/>
      <c r="X181" s="13"/>
      <c r="Y181" s="57"/>
      <c r="Z181" s="105"/>
      <c r="AA181" s="529"/>
      <c r="AB181" s="208"/>
      <c r="AC181" s="13"/>
      <c r="AD181" s="57"/>
      <c r="AE181" s="105"/>
      <c r="AF181" s="644"/>
      <c r="AG181" s="198"/>
      <c r="AH181" s="199"/>
      <c r="AI181" s="200"/>
      <c r="AJ181" s="197"/>
      <c r="AK181" s="91"/>
      <c r="AL181"/>
      <c r="AM181"/>
      <c r="AN181"/>
      <c r="AO181"/>
      <c r="AP181"/>
      <c r="AQ181"/>
      <c r="AR181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  <c r="BQ181" s="224"/>
      <c r="BR181" s="224"/>
      <c r="BS181" s="224"/>
      <c r="BT181" s="224"/>
      <c r="BU181" s="224"/>
      <c r="BV181" s="224"/>
      <c r="BW181" s="224"/>
      <c r="BX181" s="224"/>
      <c r="BY181" s="224"/>
      <c r="BZ181" s="224"/>
      <c r="CA181" s="224"/>
      <c r="CB181" s="224"/>
      <c r="CC181" s="224"/>
      <c r="CD181" s="224"/>
      <c r="CE181" s="224"/>
      <c r="CF181" s="224"/>
      <c r="CG181" s="224"/>
      <c r="CH181" s="224"/>
    </row>
    <row r="182" spans="1:86" s="1" customFormat="1" ht="18" hidden="1" customHeight="1">
      <c r="A182" s="515"/>
      <c r="B182" s="644"/>
      <c r="C182" s="194"/>
      <c r="D182" s="195"/>
      <c r="E182" s="196"/>
      <c r="F182" s="197"/>
      <c r="G182" s="529"/>
      <c r="H182" s="95"/>
      <c r="I182" s="13"/>
      <c r="J182" s="57"/>
      <c r="K182" s="105"/>
      <c r="L182" s="529"/>
      <c r="M182" s="95"/>
      <c r="N182" s="13"/>
      <c r="O182" s="57"/>
      <c r="P182" s="104"/>
      <c r="Q182" s="529"/>
      <c r="R182" s="95"/>
      <c r="S182" s="95"/>
      <c r="T182" s="57"/>
      <c r="U182" s="105"/>
      <c r="V182" s="529"/>
      <c r="W182" s="95"/>
      <c r="X182" s="13"/>
      <c r="Y182" s="57"/>
      <c r="Z182" s="105"/>
      <c r="AA182" s="529"/>
      <c r="AB182" s="208"/>
      <c r="AC182" s="13"/>
      <c r="AD182" s="57"/>
      <c r="AE182" s="105"/>
      <c r="AF182" s="644"/>
      <c r="AG182" s="198"/>
      <c r="AH182" s="199"/>
      <c r="AI182" s="200"/>
      <c r="AJ182" s="197"/>
      <c r="AK182" s="91"/>
      <c r="AL182"/>
      <c r="AM182"/>
      <c r="AN182"/>
      <c r="AO182"/>
      <c r="AP182"/>
      <c r="AQ182"/>
      <c r="AR182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  <c r="BP182" s="224"/>
      <c r="BQ182" s="224"/>
      <c r="BR182" s="224"/>
      <c r="BS182" s="224"/>
      <c r="BT182" s="224"/>
      <c r="BU182" s="224"/>
      <c r="BV182" s="224"/>
      <c r="BW182" s="224"/>
      <c r="BX182" s="224"/>
      <c r="BY182" s="224"/>
      <c r="BZ182" s="224"/>
      <c r="CA182" s="224"/>
      <c r="CB182" s="224"/>
      <c r="CC182" s="224"/>
      <c r="CD182" s="224"/>
      <c r="CE182" s="224"/>
      <c r="CF182" s="224"/>
      <c r="CG182" s="224"/>
      <c r="CH182" s="224"/>
    </row>
    <row r="183" spans="1:86" s="1" customFormat="1" ht="18" hidden="1" customHeight="1">
      <c r="A183" s="515"/>
      <c r="B183" s="644"/>
      <c r="C183" s="194"/>
      <c r="D183" s="195"/>
      <c r="E183" s="196"/>
      <c r="F183" s="197"/>
      <c r="G183" s="529"/>
      <c r="H183" s="95"/>
      <c r="I183" s="13"/>
      <c r="J183" s="57"/>
      <c r="K183" s="105"/>
      <c r="L183" s="529"/>
      <c r="M183" s="95"/>
      <c r="N183" s="13"/>
      <c r="O183" s="57"/>
      <c r="P183" s="104"/>
      <c r="Q183" s="529"/>
      <c r="R183" s="95"/>
      <c r="S183" s="95"/>
      <c r="T183" s="57"/>
      <c r="U183" s="105"/>
      <c r="V183" s="529"/>
      <c r="W183" s="95"/>
      <c r="X183" s="13"/>
      <c r="Y183" s="57"/>
      <c r="Z183" s="105"/>
      <c r="AA183" s="529"/>
      <c r="AB183" s="208"/>
      <c r="AC183" s="13"/>
      <c r="AD183" s="57"/>
      <c r="AE183" s="105"/>
      <c r="AF183" s="644"/>
      <c r="AG183" s="198"/>
      <c r="AH183" s="199"/>
      <c r="AI183" s="200"/>
      <c r="AJ183" s="197"/>
      <c r="AK183" s="91"/>
      <c r="AL183"/>
      <c r="AM183"/>
      <c r="AN183"/>
      <c r="AO183"/>
      <c r="AP183"/>
      <c r="AQ183"/>
      <c r="AR183"/>
      <c r="AS183" s="224"/>
      <c r="AT183" s="224"/>
      <c r="AU183" s="224"/>
      <c r="AV183" s="224"/>
      <c r="AW183" s="224"/>
      <c r="AX183" s="224"/>
      <c r="AY183" s="224"/>
      <c r="AZ183" s="224"/>
      <c r="BA183" s="224"/>
      <c r="BB183" s="224"/>
      <c r="BC183" s="224"/>
      <c r="BD183" s="224"/>
      <c r="BE183" s="224"/>
      <c r="BF183" s="224"/>
      <c r="BG183" s="224"/>
      <c r="BH183" s="224"/>
      <c r="BI183" s="224"/>
      <c r="BJ183" s="224"/>
      <c r="BK183" s="224"/>
      <c r="BL183" s="224"/>
      <c r="BM183" s="224"/>
      <c r="BN183" s="224"/>
      <c r="BO183" s="224"/>
      <c r="BP183" s="224"/>
      <c r="BQ183" s="224"/>
      <c r="BR183" s="224"/>
      <c r="BS183" s="224"/>
      <c r="BT183" s="224"/>
      <c r="BU183" s="224"/>
      <c r="BV183" s="224"/>
      <c r="BW183" s="224"/>
      <c r="BX183" s="224"/>
      <c r="BY183" s="224"/>
      <c r="BZ183" s="224"/>
      <c r="CA183" s="224"/>
      <c r="CB183" s="224"/>
      <c r="CC183" s="224"/>
      <c r="CD183" s="224"/>
      <c r="CE183" s="224"/>
      <c r="CF183" s="224"/>
      <c r="CG183" s="224"/>
      <c r="CH183" s="224"/>
    </row>
    <row r="184" spans="1:86" s="1" customFormat="1" ht="18" hidden="1" customHeight="1">
      <c r="A184" s="593"/>
      <c r="B184" s="645"/>
      <c r="C184" s="201"/>
      <c r="D184" s="202"/>
      <c r="E184" s="203"/>
      <c r="F184" s="204"/>
      <c r="G184" s="530"/>
      <c r="H184" s="95"/>
      <c r="I184" s="13"/>
      <c r="J184" s="57"/>
      <c r="K184" s="107"/>
      <c r="L184" s="530"/>
      <c r="M184" s="95"/>
      <c r="N184" s="13"/>
      <c r="O184" s="57"/>
      <c r="P184" s="106"/>
      <c r="Q184" s="530"/>
      <c r="R184" s="95"/>
      <c r="S184" s="95"/>
      <c r="T184" s="57"/>
      <c r="U184" s="107"/>
      <c r="V184" s="530"/>
      <c r="W184" s="95"/>
      <c r="X184" s="13"/>
      <c r="Y184" s="57"/>
      <c r="Z184" s="107"/>
      <c r="AA184" s="530"/>
      <c r="AB184" s="208"/>
      <c r="AC184" s="13"/>
      <c r="AD184" s="57"/>
      <c r="AE184" s="105"/>
      <c r="AF184" s="645"/>
      <c r="AG184" s="205"/>
      <c r="AH184" s="206"/>
      <c r="AI184" s="207"/>
      <c r="AJ184" s="204"/>
      <c r="AK184" s="91"/>
      <c r="AL184"/>
      <c r="AM184"/>
      <c r="AN184"/>
      <c r="AO184"/>
      <c r="AP184"/>
      <c r="AQ184"/>
      <c r="AR18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  <c r="BP184" s="224"/>
      <c r="BQ184" s="224"/>
      <c r="BR184" s="224"/>
      <c r="BS184" s="224"/>
      <c r="BT184" s="224"/>
      <c r="BU184" s="224"/>
      <c r="BV184" s="224"/>
      <c r="BW184" s="224"/>
      <c r="BX184" s="224"/>
      <c r="BY184" s="224"/>
      <c r="BZ184" s="224"/>
      <c r="CA184" s="224"/>
      <c r="CB184" s="224"/>
      <c r="CC184" s="224"/>
      <c r="CD184" s="224"/>
      <c r="CE184" s="224"/>
      <c r="CF184" s="224"/>
      <c r="CG184" s="224"/>
      <c r="CH184" s="224"/>
    </row>
    <row r="185" spans="1:86" s="1" customFormat="1" ht="18" customHeight="1">
      <c r="A185" s="613" t="s">
        <v>34</v>
      </c>
      <c r="B185" s="643"/>
      <c r="C185" s="187"/>
      <c r="D185" s="188"/>
      <c r="E185" s="189"/>
      <c r="F185" s="213"/>
      <c r="G185" s="616" t="s">
        <v>86</v>
      </c>
      <c r="H185" s="93" t="s">
        <v>87</v>
      </c>
      <c r="I185" s="9"/>
      <c r="J185" s="56">
        <f>ROUND(65*J$2/1000,0)</f>
        <v>113</v>
      </c>
      <c r="K185" s="34" t="s">
        <v>5</v>
      </c>
      <c r="L185" s="616" t="s">
        <v>86</v>
      </c>
      <c r="M185" s="93" t="s">
        <v>87</v>
      </c>
      <c r="N185" s="9"/>
      <c r="O185" s="56">
        <f>ROUND(65*O$2/1000,0)</f>
        <v>110</v>
      </c>
      <c r="P185" s="34" t="s">
        <v>5</v>
      </c>
      <c r="Q185" s="616" t="s">
        <v>86</v>
      </c>
      <c r="R185" s="93" t="s">
        <v>87</v>
      </c>
      <c r="S185" s="9"/>
      <c r="T185" s="56">
        <f>ROUND(65*T$2/1000,0)</f>
        <v>113</v>
      </c>
      <c r="U185" s="34" t="s">
        <v>5</v>
      </c>
      <c r="V185" s="616" t="s">
        <v>86</v>
      </c>
      <c r="W185" s="93" t="s">
        <v>87</v>
      </c>
      <c r="X185" s="9"/>
      <c r="Y185" s="56">
        <f>ROUND(65*Y$2/1000,0)</f>
        <v>113</v>
      </c>
      <c r="Z185" s="34" t="s">
        <v>5</v>
      </c>
      <c r="AA185" s="616" t="s">
        <v>86</v>
      </c>
      <c r="AB185" s="93" t="s">
        <v>87</v>
      </c>
      <c r="AC185" s="9"/>
      <c r="AD185" s="56">
        <f>ROUND(65*AD$2/1000,0)</f>
        <v>113</v>
      </c>
      <c r="AE185" s="34" t="s">
        <v>5</v>
      </c>
      <c r="AF185" s="643"/>
      <c r="AG185" s="191"/>
      <c r="AH185" s="192"/>
      <c r="AI185" s="193"/>
      <c r="AJ185" s="213"/>
      <c r="AK185" s="91"/>
      <c r="AL185"/>
      <c r="AM185"/>
      <c r="AN185"/>
      <c r="AO185"/>
      <c r="AP185"/>
      <c r="AQ185"/>
      <c r="AR185"/>
      <c r="AS185" s="224"/>
      <c r="AT185" s="224"/>
      <c r="AU185" s="224"/>
      <c r="AV185" s="224"/>
      <c r="AW185" s="224"/>
      <c r="AX185" s="224"/>
      <c r="AY185" s="224"/>
      <c r="AZ185" s="224"/>
      <c r="BA185" s="224"/>
      <c r="BB185" s="224"/>
      <c r="BC185" s="224"/>
      <c r="BD185" s="224"/>
      <c r="BE185" s="224"/>
      <c r="BF185" s="224"/>
      <c r="BG185" s="224"/>
      <c r="BH185" s="224"/>
      <c r="BI185" s="224"/>
      <c r="BJ185" s="224"/>
      <c r="BK185" s="224"/>
      <c r="BL185" s="224"/>
      <c r="BM185" s="224"/>
      <c r="BN185" s="224"/>
      <c r="BO185" s="224"/>
      <c r="BP185" s="224"/>
      <c r="BQ185" s="224"/>
      <c r="BR185" s="224"/>
      <c r="BS185" s="224"/>
      <c r="BT185" s="224"/>
      <c r="BU185" s="224"/>
      <c r="BV185" s="224"/>
      <c r="BW185" s="224"/>
      <c r="BX185" s="224"/>
      <c r="BY185" s="224"/>
      <c r="BZ185" s="224"/>
      <c r="CA185" s="224"/>
      <c r="CB185" s="224"/>
      <c r="CC185" s="224"/>
      <c r="CD185" s="224"/>
      <c r="CE185" s="224"/>
      <c r="CF185" s="224"/>
      <c r="CG185" s="224"/>
      <c r="CH185" s="224"/>
    </row>
    <row r="186" spans="1:86" s="1" customFormat="1" ht="18" customHeight="1">
      <c r="A186" s="614"/>
      <c r="B186" s="644"/>
      <c r="C186" s="194"/>
      <c r="D186" s="195"/>
      <c r="E186" s="196"/>
      <c r="F186" s="214"/>
      <c r="G186" s="617"/>
      <c r="H186" s="97" t="s">
        <v>112</v>
      </c>
      <c r="I186" s="13" t="s">
        <v>113</v>
      </c>
      <c r="J186" s="57">
        <v>2</v>
      </c>
      <c r="K186" s="58" t="s">
        <v>5</v>
      </c>
      <c r="L186" s="617"/>
      <c r="M186" s="97" t="s">
        <v>112</v>
      </c>
      <c r="N186" s="13" t="s">
        <v>113</v>
      </c>
      <c r="O186" s="57">
        <v>2</v>
      </c>
      <c r="P186" s="58" t="s">
        <v>5</v>
      </c>
      <c r="Q186" s="617"/>
      <c r="R186" s="97" t="s">
        <v>112</v>
      </c>
      <c r="S186" s="13" t="s">
        <v>113</v>
      </c>
      <c r="T186" s="57">
        <v>2</v>
      </c>
      <c r="U186" s="58" t="s">
        <v>5</v>
      </c>
      <c r="V186" s="617"/>
      <c r="W186" s="97" t="s">
        <v>112</v>
      </c>
      <c r="X186" s="13" t="s">
        <v>113</v>
      </c>
      <c r="Y186" s="57">
        <v>2</v>
      </c>
      <c r="Z186" s="58" t="s">
        <v>5</v>
      </c>
      <c r="AA186" s="617"/>
      <c r="AB186" s="97" t="s">
        <v>112</v>
      </c>
      <c r="AC186" s="13" t="s">
        <v>113</v>
      </c>
      <c r="AD186" s="57">
        <v>2</v>
      </c>
      <c r="AE186" s="58" t="s">
        <v>5</v>
      </c>
      <c r="AF186" s="644"/>
      <c r="AG186" s="198"/>
      <c r="AH186" s="199"/>
      <c r="AI186" s="200"/>
      <c r="AJ186" s="214"/>
      <c r="AK186" s="91"/>
      <c r="AL186"/>
      <c r="AM186"/>
      <c r="AN186"/>
      <c r="AO186"/>
      <c r="AP186"/>
      <c r="AQ186"/>
      <c r="AR186"/>
      <c r="AS186" s="224"/>
      <c r="AT186" s="224"/>
      <c r="AU186" s="224"/>
      <c r="AV186" s="224"/>
      <c r="AW186" s="224"/>
      <c r="AX186" s="224"/>
      <c r="AY186" s="224"/>
      <c r="AZ186" s="224"/>
      <c r="BA186" s="224"/>
      <c r="BB186" s="224"/>
      <c r="BC186" s="224"/>
      <c r="BD186" s="224"/>
      <c r="BE186" s="224"/>
      <c r="BF186" s="224"/>
      <c r="BG186" s="224"/>
      <c r="BH186" s="224"/>
      <c r="BI186" s="224"/>
      <c r="BJ186" s="224"/>
      <c r="BK186" s="224"/>
      <c r="BL186" s="224"/>
      <c r="BM186" s="224"/>
      <c r="BN186" s="224"/>
      <c r="BO186" s="224"/>
      <c r="BP186" s="224"/>
      <c r="BQ186" s="224"/>
      <c r="BR186" s="224"/>
      <c r="BS186" s="224"/>
      <c r="BT186" s="224"/>
      <c r="BU186" s="224"/>
      <c r="BV186" s="224"/>
      <c r="BW186" s="224"/>
      <c r="BX186" s="224"/>
      <c r="BY186" s="224"/>
      <c r="BZ186" s="224"/>
      <c r="CA186" s="224"/>
      <c r="CB186" s="224"/>
      <c r="CC186" s="224"/>
      <c r="CD186" s="224"/>
      <c r="CE186" s="224"/>
      <c r="CF186" s="224"/>
      <c r="CG186" s="224"/>
      <c r="CH186" s="224"/>
    </row>
    <row r="187" spans="1:86" s="1" customFormat="1" ht="18" customHeight="1">
      <c r="A187" s="614"/>
      <c r="B187" s="644"/>
      <c r="C187" s="194"/>
      <c r="D187" s="195"/>
      <c r="E187" s="196"/>
      <c r="F187" s="214"/>
      <c r="G187" s="617"/>
      <c r="H187" s="97" t="s">
        <v>93</v>
      </c>
      <c r="I187" s="13"/>
      <c r="J187" s="57">
        <v>5</v>
      </c>
      <c r="K187" s="58" t="s">
        <v>5</v>
      </c>
      <c r="L187" s="617"/>
      <c r="M187" s="97" t="s">
        <v>93</v>
      </c>
      <c r="N187" s="13"/>
      <c r="O187" s="57">
        <v>5</v>
      </c>
      <c r="P187" s="58" t="s">
        <v>5</v>
      </c>
      <c r="Q187" s="617"/>
      <c r="R187" s="97" t="s">
        <v>93</v>
      </c>
      <c r="S187" s="13"/>
      <c r="T187" s="57">
        <v>5</v>
      </c>
      <c r="U187" s="58" t="s">
        <v>5</v>
      </c>
      <c r="V187" s="617"/>
      <c r="W187" s="97" t="s">
        <v>93</v>
      </c>
      <c r="X187" s="13"/>
      <c r="Y187" s="57">
        <v>5</v>
      </c>
      <c r="Z187" s="58" t="s">
        <v>5</v>
      </c>
      <c r="AA187" s="617"/>
      <c r="AB187" s="97" t="s">
        <v>93</v>
      </c>
      <c r="AC187" s="13"/>
      <c r="AD187" s="57">
        <v>5</v>
      </c>
      <c r="AE187" s="58" t="s">
        <v>5</v>
      </c>
      <c r="AF187" s="644"/>
      <c r="AG187" s="198"/>
      <c r="AH187" s="199"/>
      <c r="AI187" s="200"/>
      <c r="AJ187" s="214"/>
      <c r="AK187" s="91"/>
      <c r="AL187"/>
      <c r="AM187"/>
      <c r="AN187"/>
      <c r="AO187"/>
      <c r="AP187"/>
      <c r="AQ187"/>
      <c r="AR187"/>
      <c r="AS187" s="224"/>
      <c r="AT187" s="224"/>
      <c r="AU187" s="224"/>
      <c r="AV187" s="224"/>
      <c r="AW187" s="224"/>
      <c r="AX187" s="224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24"/>
      <c r="BM187" s="224"/>
      <c r="BN187" s="224"/>
      <c r="BO187" s="224"/>
      <c r="BP187" s="224"/>
      <c r="BQ187" s="224"/>
      <c r="BR187" s="224"/>
      <c r="BS187" s="224"/>
      <c r="BT187" s="224"/>
      <c r="BU187" s="224"/>
      <c r="BV187" s="224"/>
      <c r="BW187" s="224"/>
      <c r="BX187" s="224"/>
      <c r="BY187" s="224"/>
      <c r="BZ187" s="224"/>
      <c r="CA187" s="224"/>
      <c r="CB187" s="224"/>
      <c r="CC187" s="224"/>
      <c r="CD187" s="224"/>
      <c r="CE187" s="224"/>
      <c r="CF187" s="224"/>
      <c r="CG187" s="224"/>
      <c r="CH187" s="224"/>
    </row>
    <row r="188" spans="1:86" s="1" customFormat="1" ht="18" customHeight="1">
      <c r="A188" s="614"/>
      <c r="B188" s="644"/>
      <c r="C188" s="194"/>
      <c r="D188" s="195"/>
      <c r="E188" s="196"/>
      <c r="F188" s="214"/>
      <c r="G188" s="617"/>
      <c r="H188" s="97" t="s">
        <v>114</v>
      </c>
      <c r="I188" s="13" t="s">
        <v>115</v>
      </c>
      <c r="J188" s="57">
        <v>3</v>
      </c>
      <c r="K188" s="58" t="s">
        <v>5</v>
      </c>
      <c r="L188" s="617"/>
      <c r="M188" s="97" t="s">
        <v>114</v>
      </c>
      <c r="N188" s="13" t="s">
        <v>115</v>
      </c>
      <c r="O188" s="57">
        <v>3</v>
      </c>
      <c r="P188" s="58" t="s">
        <v>5</v>
      </c>
      <c r="Q188" s="617"/>
      <c r="R188" s="97" t="s">
        <v>114</v>
      </c>
      <c r="S188" s="13" t="s">
        <v>115</v>
      </c>
      <c r="T188" s="57">
        <v>3</v>
      </c>
      <c r="U188" s="58" t="s">
        <v>5</v>
      </c>
      <c r="V188" s="617"/>
      <c r="W188" s="97" t="s">
        <v>114</v>
      </c>
      <c r="X188" s="13" t="s">
        <v>115</v>
      </c>
      <c r="Y188" s="57">
        <v>3</v>
      </c>
      <c r="Z188" s="58" t="s">
        <v>5</v>
      </c>
      <c r="AA188" s="617"/>
      <c r="AB188" s="97" t="s">
        <v>114</v>
      </c>
      <c r="AC188" s="13" t="s">
        <v>115</v>
      </c>
      <c r="AD188" s="57">
        <v>3</v>
      </c>
      <c r="AE188" s="58" t="s">
        <v>5</v>
      </c>
      <c r="AF188" s="644"/>
      <c r="AG188" s="198"/>
      <c r="AH188" s="199"/>
      <c r="AI188" s="200"/>
      <c r="AJ188" s="214"/>
      <c r="AK188" s="91"/>
      <c r="AL188"/>
      <c r="AM188"/>
      <c r="AN188"/>
      <c r="AO188"/>
      <c r="AP188"/>
      <c r="AQ188"/>
      <c r="AR188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4"/>
      <c r="BN188" s="224"/>
      <c r="BO188" s="224"/>
      <c r="BP188" s="224"/>
      <c r="BQ188" s="224"/>
      <c r="BR188" s="224"/>
      <c r="BS188" s="224"/>
      <c r="BT188" s="224"/>
      <c r="BU188" s="224"/>
      <c r="BV188" s="224"/>
      <c r="BW188" s="224"/>
      <c r="BX188" s="224"/>
      <c r="BY188" s="224"/>
      <c r="BZ188" s="224"/>
      <c r="CA188" s="224"/>
      <c r="CB188" s="224"/>
      <c r="CC188" s="224"/>
      <c r="CD188" s="224"/>
      <c r="CE188" s="224"/>
      <c r="CF188" s="224"/>
      <c r="CG188" s="224"/>
      <c r="CH188" s="224"/>
    </row>
    <row r="189" spans="1:86" s="1" customFormat="1" ht="17.25" customHeight="1">
      <c r="A189" s="614"/>
      <c r="B189" s="644"/>
      <c r="C189" s="194"/>
      <c r="D189" s="195"/>
      <c r="E189" s="196"/>
      <c r="F189" s="214"/>
      <c r="G189" s="617"/>
      <c r="H189" s="97"/>
      <c r="I189" s="13"/>
      <c r="J189" s="57"/>
      <c r="K189" s="58"/>
      <c r="L189" s="617"/>
      <c r="M189" s="97"/>
      <c r="N189" s="13"/>
      <c r="O189" s="57"/>
      <c r="P189" s="58"/>
      <c r="Q189" s="617"/>
      <c r="R189" s="97"/>
      <c r="S189" s="13"/>
      <c r="T189" s="57"/>
      <c r="U189" s="58"/>
      <c r="V189" s="617"/>
      <c r="W189" s="97"/>
      <c r="X189" s="13"/>
      <c r="Y189" s="57"/>
      <c r="Z189" s="58"/>
      <c r="AA189" s="617"/>
      <c r="AB189" s="97"/>
      <c r="AC189" s="13"/>
      <c r="AD189" s="57"/>
      <c r="AE189" s="58"/>
      <c r="AF189" s="644"/>
      <c r="AG189" s="198"/>
      <c r="AH189" s="199"/>
      <c r="AI189" s="200"/>
      <c r="AJ189" s="214"/>
      <c r="AK189" s="91"/>
      <c r="AL189"/>
      <c r="AM189"/>
      <c r="AN189"/>
      <c r="AO189"/>
      <c r="AP189"/>
      <c r="AQ189"/>
      <c r="AR189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4"/>
      <c r="BN189" s="224"/>
      <c r="BO189" s="224"/>
      <c r="BP189" s="224"/>
      <c r="BQ189" s="224"/>
      <c r="BR189" s="224"/>
      <c r="BS189" s="224"/>
      <c r="BT189" s="224"/>
      <c r="BU189" s="224"/>
      <c r="BV189" s="224"/>
      <c r="BW189" s="224"/>
      <c r="BX189" s="224"/>
      <c r="BY189" s="224"/>
      <c r="BZ189" s="224"/>
      <c r="CA189" s="224"/>
      <c r="CB189" s="224"/>
      <c r="CC189" s="224"/>
      <c r="CD189" s="224"/>
      <c r="CE189" s="224"/>
      <c r="CF189" s="224"/>
      <c r="CG189" s="224"/>
      <c r="CH189" s="224"/>
    </row>
    <row r="190" spans="1:86" s="1" customFormat="1" ht="18" customHeight="1">
      <c r="A190" s="614"/>
      <c r="B190" s="644"/>
      <c r="C190" s="194"/>
      <c r="D190" s="195"/>
      <c r="E190" s="196"/>
      <c r="F190" s="197"/>
      <c r="G190" s="617"/>
      <c r="H190" s="97"/>
      <c r="I190" s="13"/>
      <c r="J190" s="57"/>
      <c r="K190" s="58"/>
      <c r="L190" s="617"/>
      <c r="M190" s="97"/>
      <c r="N190" s="13"/>
      <c r="O190" s="57"/>
      <c r="P190" s="58"/>
      <c r="Q190" s="617"/>
      <c r="R190" s="97"/>
      <c r="S190" s="13"/>
      <c r="T190" s="57"/>
      <c r="U190" s="58"/>
      <c r="V190" s="617"/>
      <c r="W190" s="97"/>
      <c r="X190" s="13"/>
      <c r="Y190" s="57"/>
      <c r="Z190" s="58"/>
      <c r="AA190" s="617"/>
      <c r="AB190" s="97"/>
      <c r="AC190" s="13"/>
      <c r="AD190" s="57"/>
      <c r="AE190" s="58"/>
      <c r="AF190" s="644"/>
      <c r="AG190" s="198"/>
      <c r="AH190" s="199"/>
      <c r="AI190" s="200"/>
      <c r="AJ190" s="197"/>
      <c r="AK190" s="91"/>
      <c r="AL190"/>
      <c r="AM190"/>
      <c r="AN190"/>
      <c r="AO190"/>
      <c r="AP190"/>
      <c r="AQ190"/>
      <c r="AR190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4"/>
      <c r="BN190" s="224"/>
      <c r="BO190" s="224"/>
      <c r="BP190" s="224"/>
      <c r="BQ190" s="224"/>
      <c r="BR190" s="224"/>
      <c r="BS190" s="224"/>
      <c r="BT190" s="224"/>
      <c r="BU190" s="224"/>
      <c r="BV190" s="224"/>
      <c r="BW190" s="224"/>
      <c r="BX190" s="224"/>
      <c r="BY190" s="224"/>
      <c r="BZ190" s="224"/>
      <c r="CA190" s="224"/>
      <c r="CB190" s="224"/>
      <c r="CC190" s="224"/>
      <c r="CD190" s="224"/>
      <c r="CE190" s="224"/>
      <c r="CF190" s="224"/>
      <c r="CG190" s="224"/>
      <c r="CH190" s="224"/>
    </row>
    <row r="191" spans="1:86" s="1" customFormat="1" ht="18" customHeight="1">
      <c r="A191" s="614"/>
      <c r="B191" s="644"/>
      <c r="C191" s="194"/>
      <c r="D191" s="195"/>
      <c r="E191" s="196"/>
      <c r="F191" s="197"/>
      <c r="G191" s="617"/>
      <c r="H191" s="97"/>
      <c r="I191" s="13"/>
      <c r="J191" s="57"/>
      <c r="K191" s="58"/>
      <c r="L191" s="617"/>
      <c r="M191" s="97"/>
      <c r="N191" s="13"/>
      <c r="O191" s="57"/>
      <c r="P191" s="58"/>
      <c r="Q191" s="617"/>
      <c r="R191" s="97"/>
      <c r="S191" s="13"/>
      <c r="T191" s="57"/>
      <c r="U191" s="58"/>
      <c r="V191" s="617"/>
      <c r="W191" s="97"/>
      <c r="X191" s="13"/>
      <c r="Y191" s="57"/>
      <c r="Z191" s="58"/>
      <c r="AA191" s="617"/>
      <c r="AB191" s="97"/>
      <c r="AC191" s="13"/>
      <c r="AD191" s="57"/>
      <c r="AE191" s="58"/>
      <c r="AF191" s="644"/>
      <c r="AG191" s="198"/>
      <c r="AH191" s="199"/>
      <c r="AI191" s="200"/>
      <c r="AJ191" s="197"/>
      <c r="AK191" s="91"/>
      <c r="AL191"/>
      <c r="AM191"/>
      <c r="AN191"/>
      <c r="AO191"/>
      <c r="AP191"/>
      <c r="AQ191"/>
      <c r="AR191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4"/>
      <c r="BN191" s="224"/>
      <c r="BO191" s="224"/>
      <c r="BP191" s="224"/>
      <c r="BQ191" s="224"/>
      <c r="BR191" s="224"/>
      <c r="BS191" s="224"/>
      <c r="BT191" s="224"/>
      <c r="BU191" s="224"/>
      <c r="BV191" s="224"/>
      <c r="BW191" s="224"/>
      <c r="BX191" s="224"/>
      <c r="BY191" s="224"/>
      <c r="BZ191" s="224"/>
      <c r="CA191" s="224"/>
      <c r="CB191" s="224"/>
      <c r="CC191" s="224"/>
      <c r="CD191" s="224"/>
      <c r="CE191" s="224"/>
      <c r="CF191" s="224"/>
      <c r="CG191" s="224"/>
      <c r="CH191" s="224"/>
    </row>
    <row r="192" spans="1:86" s="1" customFormat="1" ht="18" customHeight="1" thickBot="1">
      <c r="A192" s="614"/>
      <c r="B192" s="644"/>
      <c r="C192" s="194"/>
      <c r="D192" s="195"/>
      <c r="E192" s="196"/>
      <c r="F192" s="197"/>
      <c r="G192" s="617"/>
      <c r="H192" s="94"/>
      <c r="I192" s="14"/>
      <c r="J192" s="57"/>
      <c r="K192" s="58"/>
      <c r="L192" s="617"/>
      <c r="M192" s="94"/>
      <c r="N192" s="14"/>
      <c r="O192" s="57"/>
      <c r="P192" s="58"/>
      <c r="Q192" s="617"/>
      <c r="R192" s="94"/>
      <c r="S192" s="14"/>
      <c r="T192" s="57"/>
      <c r="U192" s="58"/>
      <c r="V192" s="617"/>
      <c r="W192" s="94"/>
      <c r="X192" s="14"/>
      <c r="Y192" s="57"/>
      <c r="Z192" s="58"/>
      <c r="AA192" s="617"/>
      <c r="AB192" s="94"/>
      <c r="AC192" s="14"/>
      <c r="AD192" s="57"/>
      <c r="AE192" s="58"/>
      <c r="AF192" s="644"/>
      <c r="AG192" s="198"/>
      <c r="AH192" s="199"/>
      <c r="AI192" s="200"/>
      <c r="AJ192" s="197"/>
      <c r="AK192" s="91"/>
      <c r="AL192"/>
      <c r="AM192"/>
      <c r="AN192"/>
      <c r="AO192"/>
      <c r="AP192"/>
      <c r="AQ192"/>
      <c r="AR192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4"/>
      <c r="BN192" s="224"/>
      <c r="BO192" s="224"/>
      <c r="BP192" s="224"/>
      <c r="BQ192" s="224"/>
      <c r="BR192" s="224"/>
      <c r="BS192" s="224"/>
      <c r="BT192" s="224"/>
      <c r="BU192" s="224"/>
      <c r="BV192" s="224"/>
      <c r="BW192" s="224"/>
      <c r="BX192" s="224"/>
      <c r="BY192" s="224"/>
      <c r="BZ192" s="224"/>
      <c r="CA192" s="224"/>
      <c r="CB192" s="224"/>
      <c r="CC192" s="224"/>
      <c r="CD192" s="224"/>
      <c r="CE192" s="224"/>
      <c r="CF192" s="224"/>
      <c r="CG192" s="224"/>
      <c r="CH192" s="224"/>
    </row>
    <row r="193" spans="1:86" s="1" customFormat="1" ht="18" hidden="1" customHeight="1" thickBot="1">
      <c r="A193" s="614"/>
      <c r="B193" s="644"/>
      <c r="C193" s="194"/>
      <c r="D193" s="195"/>
      <c r="E193" s="196"/>
      <c r="F193" s="197"/>
      <c r="G193" s="617"/>
      <c r="H193" s="112"/>
      <c r="I193" s="109"/>
      <c r="J193" s="111"/>
      <c r="K193" s="58" t="s">
        <v>5</v>
      </c>
      <c r="L193" s="617"/>
      <c r="M193" s="112"/>
      <c r="N193" s="109"/>
      <c r="O193" s="111"/>
      <c r="P193" s="58" t="s">
        <v>5</v>
      </c>
      <c r="Q193" s="617"/>
      <c r="R193" s="112"/>
      <c r="S193" s="109"/>
      <c r="T193" s="111"/>
      <c r="U193" s="58" t="s">
        <v>5</v>
      </c>
      <c r="V193" s="617"/>
      <c r="W193" s="112"/>
      <c r="X193" s="109"/>
      <c r="Y193" s="111"/>
      <c r="Z193" s="58" t="s">
        <v>5</v>
      </c>
      <c r="AA193" s="617"/>
      <c r="AB193" s="112"/>
      <c r="AC193" s="109"/>
      <c r="AD193" s="111"/>
      <c r="AE193" s="58" t="s">
        <v>5</v>
      </c>
      <c r="AF193" s="644"/>
      <c r="AG193" s="198"/>
      <c r="AH193" s="199"/>
      <c r="AI193" s="200"/>
      <c r="AJ193" s="197"/>
      <c r="AK193" s="91"/>
      <c r="AL193"/>
      <c r="AM193"/>
      <c r="AN193"/>
      <c r="AO193"/>
      <c r="AP193"/>
      <c r="AQ193"/>
      <c r="AR193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4"/>
      <c r="BN193" s="224"/>
      <c r="BO193" s="224"/>
      <c r="BP193" s="224"/>
      <c r="BQ193" s="224"/>
      <c r="BR193" s="224"/>
      <c r="BS193" s="224"/>
      <c r="BT193" s="224"/>
      <c r="BU193" s="224"/>
      <c r="BV193" s="224"/>
      <c r="BW193" s="224"/>
      <c r="BX193" s="224"/>
      <c r="BY193" s="224"/>
      <c r="BZ193" s="224"/>
      <c r="CA193" s="224"/>
      <c r="CB193" s="224"/>
      <c r="CC193" s="224"/>
      <c r="CD193" s="224"/>
      <c r="CE193" s="224"/>
      <c r="CF193" s="224"/>
      <c r="CG193" s="224"/>
      <c r="CH193" s="224"/>
    </row>
    <row r="194" spans="1:86" s="1" customFormat="1" ht="18" hidden="1" customHeight="1">
      <c r="A194" s="614"/>
      <c r="B194" s="644"/>
      <c r="C194" s="194"/>
      <c r="D194" s="195"/>
      <c r="E194" s="196"/>
      <c r="F194" s="197"/>
      <c r="G194" s="617"/>
      <c r="H194" s="112"/>
      <c r="I194" s="109"/>
      <c r="J194" s="111"/>
      <c r="K194" s="58"/>
      <c r="L194" s="617"/>
      <c r="M194" s="112"/>
      <c r="N194" s="109"/>
      <c r="O194" s="111"/>
      <c r="P194" s="58"/>
      <c r="Q194" s="617"/>
      <c r="R194" s="112"/>
      <c r="S194" s="109"/>
      <c r="T194" s="111"/>
      <c r="U194" s="58"/>
      <c r="V194" s="617"/>
      <c r="W194" s="112"/>
      <c r="X194" s="109"/>
      <c r="Y194" s="111"/>
      <c r="Z194" s="58"/>
      <c r="AA194" s="617"/>
      <c r="AB194" s="112"/>
      <c r="AC194" s="109"/>
      <c r="AD194" s="111"/>
      <c r="AE194" s="58"/>
      <c r="AF194" s="644"/>
      <c r="AG194" s="198"/>
      <c r="AH194" s="199"/>
      <c r="AI194" s="200"/>
      <c r="AJ194" s="197"/>
      <c r="AK194" s="91"/>
      <c r="AL194"/>
      <c r="AM194"/>
      <c r="AN194"/>
      <c r="AO194"/>
      <c r="AP194"/>
      <c r="AQ194"/>
      <c r="AR19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4"/>
      <c r="BN194" s="224"/>
      <c r="BO194" s="224"/>
      <c r="BP194" s="224"/>
      <c r="BQ194" s="224"/>
      <c r="BR194" s="224"/>
      <c r="BS194" s="224"/>
      <c r="BT194" s="224"/>
      <c r="BU194" s="224"/>
      <c r="BV194" s="224"/>
      <c r="BW194" s="224"/>
      <c r="BX194" s="224"/>
      <c r="BY194" s="224"/>
      <c r="BZ194" s="224"/>
      <c r="CA194" s="224"/>
      <c r="CB194" s="224"/>
      <c r="CC194" s="224"/>
      <c r="CD194" s="224"/>
      <c r="CE194" s="224"/>
      <c r="CF194" s="224"/>
      <c r="CG194" s="224"/>
      <c r="CH194" s="224"/>
    </row>
    <row r="195" spans="1:86" s="1" customFormat="1" ht="18" hidden="1" customHeight="1">
      <c r="A195" s="614"/>
      <c r="B195" s="644"/>
      <c r="C195" s="194"/>
      <c r="D195" s="195"/>
      <c r="E195" s="196"/>
      <c r="F195" s="197"/>
      <c r="G195" s="617"/>
      <c r="H195" s="112"/>
      <c r="I195" s="109"/>
      <c r="J195" s="111"/>
      <c r="K195" s="58"/>
      <c r="L195" s="617"/>
      <c r="M195" s="112"/>
      <c r="N195" s="109"/>
      <c r="O195" s="111"/>
      <c r="P195" s="58"/>
      <c r="Q195" s="617"/>
      <c r="R195" s="112"/>
      <c r="S195" s="109"/>
      <c r="T195" s="111"/>
      <c r="U195" s="58"/>
      <c r="V195" s="617"/>
      <c r="W195" s="112"/>
      <c r="X195" s="109"/>
      <c r="Y195" s="111"/>
      <c r="Z195" s="58"/>
      <c r="AA195" s="617"/>
      <c r="AB195" s="112"/>
      <c r="AC195" s="109"/>
      <c r="AD195" s="111"/>
      <c r="AE195" s="58"/>
      <c r="AF195" s="644"/>
      <c r="AG195" s="198"/>
      <c r="AH195" s="199"/>
      <c r="AI195" s="200"/>
      <c r="AJ195" s="197"/>
      <c r="AK195" s="91"/>
      <c r="AL195"/>
      <c r="AM195"/>
      <c r="AN195"/>
      <c r="AO195"/>
      <c r="AP195"/>
      <c r="AQ195"/>
      <c r="AR195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4"/>
      <c r="BN195" s="224"/>
      <c r="BO195" s="224"/>
      <c r="BP195" s="224"/>
      <c r="BQ195" s="224"/>
      <c r="BR195" s="224"/>
      <c r="BS195" s="224"/>
      <c r="BT195" s="224"/>
      <c r="BU195" s="224"/>
      <c r="BV195" s="224"/>
      <c r="BW195" s="224"/>
      <c r="BX195" s="224"/>
      <c r="BY195" s="224"/>
      <c r="BZ195" s="224"/>
      <c r="CA195" s="224"/>
      <c r="CB195" s="224"/>
      <c r="CC195" s="224"/>
      <c r="CD195" s="224"/>
      <c r="CE195" s="224"/>
      <c r="CF195" s="224"/>
      <c r="CG195" s="224"/>
      <c r="CH195" s="224"/>
    </row>
    <row r="196" spans="1:86" s="1" customFormat="1" ht="18" hidden="1" customHeight="1">
      <c r="A196" s="614"/>
      <c r="B196" s="644"/>
      <c r="C196" s="194"/>
      <c r="D196" s="195"/>
      <c r="E196" s="196"/>
      <c r="F196" s="197"/>
      <c r="G196" s="617"/>
      <c r="H196" s="112"/>
      <c r="I196" s="109"/>
      <c r="J196" s="111"/>
      <c r="K196" s="58"/>
      <c r="L196" s="617"/>
      <c r="M196" s="112"/>
      <c r="N196" s="109"/>
      <c r="O196" s="111"/>
      <c r="P196" s="58"/>
      <c r="Q196" s="617"/>
      <c r="R196" s="112"/>
      <c r="S196" s="109"/>
      <c r="T196" s="111"/>
      <c r="U196" s="58"/>
      <c r="V196" s="617"/>
      <c r="W196" s="112"/>
      <c r="X196" s="109"/>
      <c r="Y196" s="111"/>
      <c r="Z196" s="58"/>
      <c r="AA196" s="617"/>
      <c r="AB196" s="112"/>
      <c r="AC196" s="109"/>
      <c r="AD196" s="111"/>
      <c r="AE196" s="58"/>
      <c r="AF196" s="644"/>
      <c r="AG196" s="198"/>
      <c r="AH196" s="199"/>
      <c r="AI196" s="200"/>
      <c r="AJ196" s="197"/>
      <c r="AK196" s="91"/>
      <c r="AL196"/>
      <c r="AM196"/>
      <c r="AN196"/>
      <c r="AO196"/>
      <c r="AP196"/>
      <c r="AQ196"/>
      <c r="AR196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4"/>
      <c r="BN196" s="224"/>
      <c r="BO196" s="224"/>
      <c r="BP196" s="224"/>
      <c r="BQ196" s="224"/>
      <c r="BR196" s="224"/>
      <c r="BS196" s="224"/>
      <c r="BT196" s="224"/>
      <c r="BU196" s="224"/>
      <c r="BV196" s="224"/>
      <c r="BW196" s="224"/>
      <c r="BX196" s="224"/>
      <c r="BY196" s="224"/>
      <c r="BZ196" s="224"/>
      <c r="CA196" s="224"/>
      <c r="CB196" s="224"/>
      <c r="CC196" s="224"/>
      <c r="CD196" s="224"/>
      <c r="CE196" s="224"/>
      <c r="CF196" s="224"/>
      <c r="CG196" s="224"/>
      <c r="CH196" s="224"/>
    </row>
    <row r="197" spans="1:86" s="1" customFormat="1" ht="18" hidden="1" customHeight="1">
      <c r="A197" s="614"/>
      <c r="B197" s="644"/>
      <c r="C197" s="194"/>
      <c r="D197" s="195"/>
      <c r="E197" s="196"/>
      <c r="F197" s="197"/>
      <c r="G197" s="617"/>
      <c r="H197" s="112"/>
      <c r="I197" s="109"/>
      <c r="J197" s="111"/>
      <c r="K197" s="58"/>
      <c r="L197" s="617"/>
      <c r="M197" s="112"/>
      <c r="N197" s="109"/>
      <c r="O197" s="111"/>
      <c r="P197" s="58"/>
      <c r="Q197" s="617"/>
      <c r="R197" s="112"/>
      <c r="S197" s="109"/>
      <c r="T197" s="111"/>
      <c r="U197" s="58"/>
      <c r="V197" s="617"/>
      <c r="W197" s="112"/>
      <c r="X197" s="109"/>
      <c r="Y197" s="111"/>
      <c r="Z197" s="58"/>
      <c r="AA197" s="617"/>
      <c r="AB197" s="112"/>
      <c r="AC197" s="109"/>
      <c r="AD197" s="111"/>
      <c r="AE197" s="58"/>
      <c r="AF197" s="644"/>
      <c r="AG197" s="198"/>
      <c r="AH197" s="199"/>
      <c r="AI197" s="200"/>
      <c r="AJ197" s="197"/>
      <c r="AK197" s="91"/>
      <c r="AL197"/>
      <c r="AM197"/>
      <c r="AN197"/>
      <c r="AO197"/>
      <c r="AP197"/>
      <c r="AQ197"/>
      <c r="AR197"/>
      <c r="AS197" s="224"/>
      <c r="AT197" s="224"/>
      <c r="AU197" s="224"/>
      <c r="AV197" s="224"/>
      <c r="AW197" s="224"/>
      <c r="AX197" s="224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4"/>
      <c r="BN197" s="224"/>
      <c r="BO197" s="224"/>
      <c r="BP197" s="224"/>
      <c r="BQ197" s="224"/>
      <c r="BR197" s="224"/>
      <c r="BS197" s="224"/>
      <c r="BT197" s="224"/>
      <c r="BU197" s="224"/>
      <c r="BV197" s="224"/>
      <c r="BW197" s="224"/>
      <c r="BX197" s="224"/>
      <c r="BY197" s="224"/>
      <c r="BZ197" s="224"/>
      <c r="CA197" s="224"/>
      <c r="CB197" s="224"/>
      <c r="CC197" s="224"/>
      <c r="CD197" s="224"/>
      <c r="CE197" s="224"/>
      <c r="CF197" s="224"/>
      <c r="CG197" s="224"/>
      <c r="CH197" s="224"/>
    </row>
    <row r="198" spans="1:86" s="1" customFormat="1" ht="18" hidden="1" customHeight="1">
      <c r="A198" s="614"/>
      <c r="B198" s="644"/>
      <c r="C198" s="194"/>
      <c r="D198" s="195"/>
      <c r="E198" s="196"/>
      <c r="F198" s="197"/>
      <c r="G198" s="617"/>
      <c r="H198" s="112"/>
      <c r="I198" s="109"/>
      <c r="J198" s="111"/>
      <c r="K198" s="58"/>
      <c r="L198" s="617"/>
      <c r="M198" s="112"/>
      <c r="N198" s="109"/>
      <c r="O198" s="111"/>
      <c r="P198" s="58"/>
      <c r="Q198" s="617"/>
      <c r="R198" s="112"/>
      <c r="S198" s="109"/>
      <c r="T198" s="111"/>
      <c r="U198" s="58"/>
      <c r="V198" s="617"/>
      <c r="W198" s="112"/>
      <c r="X198" s="109"/>
      <c r="Y198" s="111"/>
      <c r="Z198" s="58"/>
      <c r="AA198" s="617"/>
      <c r="AB198" s="112"/>
      <c r="AC198" s="109"/>
      <c r="AD198" s="111"/>
      <c r="AE198" s="58"/>
      <c r="AF198" s="644"/>
      <c r="AG198" s="198"/>
      <c r="AH198" s="199"/>
      <c r="AI198" s="200"/>
      <c r="AJ198" s="197"/>
      <c r="AK198" s="91"/>
      <c r="AL198"/>
      <c r="AM198"/>
      <c r="AN198"/>
      <c r="AO198"/>
      <c r="AP198"/>
      <c r="AQ198"/>
      <c r="AR198"/>
      <c r="AS198" s="224"/>
      <c r="AT198" s="224"/>
      <c r="AU198" s="224"/>
      <c r="AV198" s="224"/>
      <c r="AW198" s="224"/>
      <c r="AX198" s="224"/>
      <c r="AY198" s="224"/>
      <c r="AZ198" s="224"/>
      <c r="BA198" s="224"/>
      <c r="BB198" s="224"/>
      <c r="BC198" s="224"/>
      <c r="BD198" s="224"/>
      <c r="BE198" s="224"/>
      <c r="BF198" s="224"/>
      <c r="BG198" s="224"/>
      <c r="BH198" s="224"/>
      <c r="BI198" s="224"/>
      <c r="BJ198" s="224"/>
      <c r="BK198" s="224"/>
      <c r="BL198" s="224"/>
      <c r="BM198" s="224"/>
      <c r="BN198" s="224"/>
      <c r="BO198" s="224"/>
      <c r="BP198" s="224"/>
      <c r="BQ198" s="224"/>
      <c r="BR198" s="224"/>
      <c r="BS198" s="224"/>
      <c r="BT198" s="224"/>
      <c r="BU198" s="224"/>
      <c r="BV198" s="224"/>
      <c r="BW198" s="224"/>
      <c r="BX198" s="224"/>
      <c r="BY198" s="224"/>
      <c r="BZ198" s="224"/>
      <c r="CA198" s="224"/>
      <c r="CB198" s="224"/>
      <c r="CC198" s="224"/>
      <c r="CD198" s="224"/>
      <c r="CE198" s="224"/>
      <c r="CF198" s="224"/>
      <c r="CG198" s="224"/>
      <c r="CH198" s="224"/>
    </row>
    <row r="199" spans="1:86" s="1" customFormat="1" ht="18" hidden="1" customHeight="1">
      <c r="A199" s="615"/>
      <c r="B199" s="645"/>
      <c r="C199" s="201"/>
      <c r="D199" s="202"/>
      <c r="E199" s="203"/>
      <c r="F199" s="204"/>
      <c r="G199" s="618"/>
      <c r="H199" s="112"/>
      <c r="I199" s="109"/>
      <c r="J199" s="111"/>
      <c r="K199" s="58"/>
      <c r="L199" s="618"/>
      <c r="M199" s="112"/>
      <c r="N199" s="109"/>
      <c r="O199" s="111"/>
      <c r="P199" s="58"/>
      <c r="Q199" s="618"/>
      <c r="R199" s="112"/>
      <c r="S199" s="109"/>
      <c r="T199" s="111"/>
      <c r="U199" s="58"/>
      <c r="V199" s="618"/>
      <c r="W199" s="112"/>
      <c r="X199" s="109"/>
      <c r="Y199" s="111"/>
      <c r="Z199" s="58"/>
      <c r="AA199" s="618"/>
      <c r="AB199" s="112"/>
      <c r="AC199" s="109"/>
      <c r="AD199" s="111"/>
      <c r="AE199" s="58"/>
      <c r="AF199" s="645"/>
      <c r="AG199" s="205"/>
      <c r="AH199" s="206"/>
      <c r="AI199" s="207"/>
      <c r="AJ199" s="204"/>
      <c r="AK199" s="91"/>
      <c r="AL199"/>
      <c r="AM199"/>
      <c r="AN199"/>
      <c r="AO199"/>
      <c r="AP199"/>
      <c r="AQ199"/>
      <c r="AR199"/>
      <c r="AS199" s="224"/>
      <c r="AT199" s="224"/>
      <c r="AU199" s="224"/>
      <c r="AV199" s="224"/>
      <c r="AW199" s="224"/>
      <c r="AX199" s="224"/>
      <c r="AY199" s="224"/>
      <c r="AZ199" s="224"/>
      <c r="BA199" s="224"/>
      <c r="BB199" s="224"/>
      <c r="BC199" s="224"/>
      <c r="BD199" s="224"/>
      <c r="BE199" s="224"/>
      <c r="BF199" s="224"/>
      <c r="BG199" s="224"/>
      <c r="BH199" s="224"/>
      <c r="BI199" s="224"/>
      <c r="BJ199" s="224"/>
      <c r="BK199" s="224"/>
      <c r="BL199" s="224"/>
      <c r="BM199" s="224"/>
      <c r="BN199" s="224"/>
      <c r="BO199" s="224"/>
      <c r="BP199" s="224"/>
      <c r="BQ199" s="224"/>
      <c r="BR199" s="224"/>
      <c r="BS199" s="224"/>
      <c r="BT199" s="224"/>
      <c r="BU199" s="224"/>
      <c r="BV199" s="224"/>
      <c r="BW199" s="224"/>
      <c r="BX199" s="224"/>
      <c r="BY199" s="224"/>
      <c r="BZ199" s="224"/>
      <c r="CA199" s="224"/>
      <c r="CB199" s="224"/>
      <c r="CC199" s="224"/>
      <c r="CD199" s="224"/>
      <c r="CE199" s="224"/>
      <c r="CF199" s="224"/>
      <c r="CG199" s="224"/>
      <c r="CH199" s="224"/>
    </row>
    <row r="200" spans="1:86" s="1" customFormat="1" ht="18" customHeight="1">
      <c r="A200" s="613" t="s">
        <v>58</v>
      </c>
      <c r="B200" s="643"/>
      <c r="C200" s="187"/>
      <c r="D200" s="188"/>
      <c r="E200" s="189"/>
      <c r="F200" s="190"/>
      <c r="G200" s="605" t="s">
        <v>164</v>
      </c>
      <c r="H200" s="285" t="s">
        <v>127</v>
      </c>
      <c r="I200" s="282"/>
      <c r="J200" s="283">
        <f>MROUND(20*J$268/1000,1.2)</f>
        <v>22.8</v>
      </c>
      <c r="K200" s="284" t="s">
        <v>0</v>
      </c>
      <c r="L200" s="608" t="s">
        <v>245</v>
      </c>
      <c r="M200" s="285" t="s">
        <v>246</v>
      </c>
      <c r="N200" s="282" t="s">
        <v>149</v>
      </c>
      <c r="O200" s="283">
        <v>18</v>
      </c>
      <c r="P200" s="364" t="s">
        <v>21</v>
      </c>
      <c r="Q200" s="610" t="s">
        <v>378</v>
      </c>
      <c r="R200" s="455" t="s">
        <v>120</v>
      </c>
      <c r="S200" s="426"/>
      <c r="T200" s="456">
        <v>63</v>
      </c>
      <c r="U200" s="457" t="s">
        <v>0</v>
      </c>
      <c r="V200" s="610" t="s">
        <v>354</v>
      </c>
      <c r="W200" s="425" t="s">
        <v>127</v>
      </c>
      <c r="X200" s="426"/>
      <c r="Y200" s="427">
        <f>MROUND(15*Y$268/1000,1.2)</f>
        <v>16.8</v>
      </c>
      <c r="Z200" s="428" t="s">
        <v>0</v>
      </c>
      <c r="AA200" s="605" t="s">
        <v>247</v>
      </c>
      <c r="AB200" s="285" t="s">
        <v>248</v>
      </c>
      <c r="AC200" s="282"/>
      <c r="AD200" s="283">
        <v>0.5</v>
      </c>
      <c r="AE200" s="284" t="s">
        <v>0</v>
      </c>
      <c r="AF200" s="654"/>
      <c r="AG200" s="11"/>
      <c r="AH200" s="9"/>
      <c r="AI200" s="56"/>
      <c r="AJ200" s="34"/>
      <c r="AK200" s="91"/>
      <c r="AL200"/>
      <c r="AM200"/>
      <c r="AN200"/>
      <c r="AO200"/>
      <c r="AP200"/>
      <c r="AQ200"/>
      <c r="AR200"/>
      <c r="AS200" s="224"/>
      <c r="AT200" s="224"/>
      <c r="AU200" s="224"/>
      <c r="AV200" s="224"/>
      <c r="AW200" s="224"/>
      <c r="AX200" s="224"/>
      <c r="AY200" s="224"/>
      <c r="AZ200" s="224"/>
      <c r="BA200" s="224"/>
      <c r="BB200" s="224"/>
      <c r="BC200" s="224"/>
      <c r="BD200" s="224"/>
      <c r="BE200" s="224"/>
      <c r="BF200" s="224"/>
      <c r="BG200" s="224"/>
      <c r="BH200" s="224"/>
      <c r="BI200" s="224"/>
      <c r="BJ200" s="224"/>
      <c r="BK200" s="224"/>
      <c r="BL200" s="224"/>
      <c r="BM200" s="224"/>
      <c r="BN200" s="224"/>
      <c r="BO200" s="224"/>
      <c r="BP200" s="224"/>
      <c r="BQ200" s="224"/>
      <c r="BR200" s="224"/>
      <c r="BS200" s="224"/>
      <c r="BT200" s="224"/>
      <c r="BU200" s="224"/>
      <c r="BV200" s="224"/>
      <c r="BW200" s="224"/>
      <c r="BX200" s="224"/>
      <c r="BY200" s="224"/>
      <c r="BZ200" s="224"/>
      <c r="CA200" s="224"/>
      <c r="CB200" s="224"/>
      <c r="CC200" s="224"/>
      <c r="CD200" s="224"/>
      <c r="CE200" s="224"/>
      <c r="CF200" s="224"/>
      <c r="CG200" s="224"/>
      <c r="CH200" s="224"/>
    </row>
    <row r="201" spans="1:86" s="1" customFormat="1" ht="18" customHeight="1">
      <c r="A201" s="614"/>
      <c r="B201" s="644"/>
      <c r="C201" s="194"/>
      <c r="D201" s="195"/>
      <c r="E201" s="196"/>
      <c r="F201" s="197"/>
      <c r="G201" s="606"/>
      <c r="H201" s="289" t="s">
        <v>131</v>
      </c>
      <c r="I201" s="286"/>
      <c r="J201" s="287">
        <f>ROUND(4*J$268/1000,0)</f>
        <v>5</v>
      </c>
      <c r="K201" s="288" t="s">
        <v>0</v>
      </c>
      <c r="L201" s="609"/>
      <c r="M201" s="289" t="s">
        <v>249</v>
      </c>
      <c r="N201" s="286" t="s">
        <v>149</v>
      </c>
      <c r="O201" s="287">
        <f>ROUND(6*O$268/1000,0)</f>
        <v>6</v>
      </c>
      <c r="P201" s="288" t="s">
        <v>0</v>
      </c>
      <c r="Q201" s="611"/>
      <c r="R201" s="452" t="s">
        <v>137</v>
      </c>
      <c r="S201" s="429"/>
      <c r="T201" s="453">
        <v>33</v>
      </c>
      <c r="U201" s="454" t="s">
        <v>0</v>
      </c>
      <c r="V201" s="611"/>
      <c r="W201" s="324" t="s">
        <v>122</v>
      </c>
      <c r="X201" s="429"/>
      <c r="Y201" s="430">
        <f>ROUND(13*Y$268/1000,0)</f>
        <v>15</v>
      </c>
      <c r="Z201" s="431" t="s">
        <v>0</v>
      </c>
      <c r="AA201" s="606"/>
      <c r="AB201" s="289" t="s">
        <v>250</v>
      </c>
      <c r="AC201" s="286"/>
      <c r="AD201" s="287">
        <v>16</v>
      </c>
      <c r="AE201" s="306" t="s">
        <v>21</v>
      </c>
      <c r="AF201" s="655"/>
      <c r="AG201" s="12"/>
      <c r="AH201" s="13"/>
      <c r="AI201" s="57"/>
      <c r="AJ201" s="58"/>
      <c r="AK201" s="91"/>
      <c r="AL201"/>
      <c r="AM201"/>
      <c r="AN201"/>
      <c r="AO201"/>
      <c r="AP201"/>
      <c r="AQ201"/>
      <c r="AR201"/>
      <c r="AS201" s="224"/>
      <c r="AT201" s="224"/>
      <c r="AU201" s="224"/>
      <c r="AV201" s="224"/>
      <c r="AW201" s="224"/>
      <c r="AX201" s="224"/>
      <c r="AY201" s="224"/>
      <c r="AZ201" s="224"/>
      <c r="BA201" s="224"/>
      <c r="BB201" s="224"/>
      <c r="BC201" s="224"/>
      <c r="BD201" s="224"/>
      <c r="BE201" s="224"/>
      <c r="BF201" s="224"/>
      <c r="BG201" s="224"/>
      <c r="BH201" s="224"/>
      <c r="BI201" s="224"/>
      <c r="BJ201" s="224"/>
      <c r="BK201" s="224"/>
      <c r="BL201" s="224"/>
      <c r="BM201" s="224"/>
      <c r="BN201" s="224"/>
      <c r="BO201" s="224"/>
      <c r="BP201" s="224"/>
      <c r="BQ201" s="224"/>
      <c r="BR201" s="224"/>
      <c r="BS201" s="224"/>
      <c r="BT201" s="224"/>
      <c r="BU201" s="224"/>
      <c r="BV201" s="224"/>
      <c r="BW201" s="224"/>
      <c r="BX201" s="224"/>
      <c r="BY201" s="224"/>
      <c r="BZ201" s="224"/>
      <c r="CA201" s="224"/>
      <c r="CB201" s="224"/>
      <c r="CC201" s="224"/>
      <c r="CD201" s="224"/>
      <c r="CE201" s="224"/>
      <c r="CF201" s="224"/>
      <c r="CG201" s="224"/>
      <c r="CH201" s="224"/>
    </row>
    <row r="202" spans="1:86" s="1" customFormat="1" ht="18" customHeight="1">
      <c r="A202" s="614"/>
      <c r="B202" s="644"/>
      <c r="C202" s="194"/>
      <c r="D202" s="195"/>
      <c r="E202" s="196"/>
      <c r="F202" s="197"/>
      <c r="G202" s="606"/>
      <c r="H202" s="289" t="s">
        <v>6</v>
      </c>
      <c r="I202" s="286"/>
      <c r="J202" s="287">
        <f>ROUND(3*J$268/1000,0)</f>
        <v>3</v>
      </c>
      <c r="K202" s="288" t="s">
        <v>0</v>
      </c>
      <c r="L202" s="609"/>
      <c r="M202" s="289" t="s">
        <v>109</v>
      </c>
      <c r="N202" s="286" t="s">
        <v>96</v>
      </c>
      <c r="O202" s="287">
        <f>MROUND(22*O$268/1000,3)</f>
        <v>24</v>
      </c>
      <c r="P202" s="288" t="s">
        <v>0</v>
      </c>
      <c r="Q202" s="611"/>
      <c r="R202" s="381" t="s">
        <v>339</v>
      </c>
      <c r="S202" s="382"/>
      <c r="T202" s="383">
        <f>ROUND(13*26/1000,1)</f>
        <v>0.3</v>
      </c>
      <c r="U202" s="439" t="s">
        <v>0</v>
      </c>
      <c r="V202" s="611"/>
      <c r="W202" s="324" t="s">
        <v>128</v>
      </c>
      <c r="X202" s="429"/>
      <c r="Y202" s="430">
        <v>12</v>
      </c>
      <c r="Z202" s="431" t="s">
        <v>0</v>
      </c>
      <c r="AA202" s="606"/>
      <c r="AB202" s="289" t="s">
        <v>251</v>
      </c>
      <c r="AC202" s="286"/>
      <c r="AD202" s="287">
        <f>ROUND(18*AD$268/1000,0)</f>
        <v>20</v>
      </c>
      <c r="AE202" s="288" t="s">
        <v>0</v>
      </c>
      <c r="AF202" s="655"/>
      <c r="AG202" s="12"/>
      <c r="AH202" s="13"/>
      <c r="AI202" s="57"/>
      <c r="AJ202" s="58"/>
      <c r="AK202" s="91"/>
      <c r="AL202"/>
      <c r="AM202"/>
      <c r="AN202"/>
      <c r="AO202"/>
      <c r="AP202"/>
      <c r="AQ202"/>
      <c r="AR202"/>
      <c r="AS202" s="224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4"/>
      <c r="BN202" s="224"/>
      <c r="BO202" s="224"/>
      <c r="BP202" s="224"/>
      <c r="BQ202" s="224"/>
      <c r="BR202" s="224"/>
      <c r="BS202" s="224"/>
      <c r="BT202" s="224"/>
      <c r="BU202" s="224"/>
      <c r="BV202" s="224"/>
      <c r="BW202" s="224"/>
      <c r="BX202" s="224"/>
      <c r="BY202" s="224"/>
      <c r="BZ202" s="224"/>
      <c r="CA202" s="224"/>
      <c r="CB202" s="224"/>
      <c r="CC202" s="224"/>
      <c r="CD202" s="224"/>
      <c r="CE202" s="224"/>
      <c r="CF202" s="224"/>
      <c r="CG202" s="224"/>
      <c r="CH202" s="224"/>
    </row>
    <row r="203" spans="1:86" s="1" customFormat="1" ht="18" customHeight="1">
      <c r="A203" s="614"/>
      <c r="B203" s="644"/>
      <c r="C203" s="194"/>
      <c r="D203" s="195"/>
      <c r="E203" s="196"/>
      <c r="F203" s="197"/>
      <c r="G203" s="606"/>
      <c r="H203" s="289" t="s">
        <v>122</v>
      </c>
      <c r="I203" s="286"/>
      <c r="J203" s="287">
        <f>ROUND(8*J$268/1000,0)</f>
        <v>9</v>
      </c>
      <c r="K203" s="288" t="s">
        <v>0</v>
      </c>
      <c r="L203" s="609"/>
      <c r="M203" s="319" t="s">
        <v>299</v>
      </c>
      <c r="N203" s="113"/>
      <c r="O203" s="256">
        <v>0.5</v>
      </c>
      <c r="P203" s="288" t="s">
        <v>0</v>
      </c>
      <c r="Q203" s="611"/>
      <c r="R203" s="452"/>
      <c r="S203" s="429"/>
      <c r="T203" s="453"/>
      <c r="U203" s="454" t="s">
        <v>0</v>
      </c>
      <c r="V203" s="611"/>
      <c r="W203" s="324" t="s">
        <v>129</v>
      </c>
      <c r="X203" s="429"/>
      <c r="Y203" s="430">
        <v>3</v>
      </c>
      <c r="Z203" s="432" t="s">
        <v>21</v>
      </c>
      <c r="AA203" s="606"/>
      <c r="AB203" s="289" t="s">
        <v>132</v>
      </c>
      <c r="AC203" s="286"/>
      <c r="AD203" s="287">
        <f>ROUND(20*AD$268/1000,0)</f>
        <v>23</v>
      </c>
      <c r="AE203" s="288" t="s">
        <v>0</v>
      </c>
      <c r="AF203" s="655"/>
      <c r="AG203" s="12"/>
      <c r="AH203" s="13"/>
      <c r="AI203" s="57"/>
      <c r="AJ203" s="58"/>
      <c r="AK203" s="91"/>
      <c r="AL203"/>
      <c r="AM203"/>
      <c r="AN203"/>
      <c r="AO203"/>
      <c r="AP203"/>
      <c r="AQ203"/>
      <c r="AR203"/>
      <c r="AS203" s="224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4"/>
      <c r="BN203" s="224"/>
      <c r="BO203" s="224"/>
      <c r="BP203" s="224"/>
      <c r="BQ203" s="224"/>
      <c r="BR203" s="224"/>
      <c r="BS203" s="224"/>
      <c r="BT203" s="224"/>
      <c r="BU203" s="224"/>
      <c r="BV203" s="224"/>
      <c r="BW203" s="224"/>
      <c r="BX203" s="224"/>
      <c r="BY203" s="224"/>
      <c r="BZ203" s="224"/>
      <c r="CA203" s="224"/>
      <c r="CB203" s="224"/>
      <c r="CC203" s="224"/>
      <c r="CD203" s="224"/>
      <c r="CE203" s="224"/>
      <c r="CF203" s="224"/>
      <c r="CG203" s="224"/>
      <c r="CH203" s="224"/>
    </row>
    <row r="204" spans="1:86" s="1" customFormat="1" ht="18" customHeight="1">
      <c r="A204" s="614"/>
      <c r="B204" s="644"/>
      <c r="C204" s="194"/>
      <c r="D204" s="195"/>
      <c r="E204" s="196"/>
      <c r="F204" s="197"/>
      <c r="G204" s="606"/>
      <c r="H204" s="289" t="s">
        <v>237</v>
      </c>
      <c r="I204" s="286" t="s">
        <v>184</v>
      </c>
      <c r="J204" s="287">
        <f>ROUND(9*J$268/1000,0)</f>
        <v>10</v>
      </c>
      <c r="K204" s="288" t="s">
        <v>0</v>
      </c>
      <c r="L204" s="609"/>
      <c r="M204" s="289"/>
      <c r="N204" s="286"/>
      <c r="O204" s="287"/>
      <c r="P204" s="288" t="s">
        <v>0</v>
      </c>
      <c r="Q204" s="611"/>
      <c r="R204" s="452"/>
      <c r="S204" s="429"/>
      <c r="T204" s="453"/>
      <c r="U204" s="454" t="s">
        <v>0</v>
      </c>
      <c r="V204" s="611"/>
      <c r="W204" s="324"/>
      <c r="X204" s="429"/>
      <c r="Y204" s="430"/>
      <c r="Z204" s="431" t="s">
        <v>0</v>
      </c>
      <c r="AA204" s="606"/>
      <c r="AB204" s="289"/>
      <c r="AC204" s="286"/>
      <c r="AD204" s="287"/>
      <c r="AE204" s="288" t="s">
        <v>0</v>
      </c>
      <c r="AF204" s="655"/>
      <c r="AG204" s="12"/>
      <c r="AH204" s="13"/>
      <c r="AI204" s="57"/>
      <c r="AJ204" s="58"/>
      <c r="AK204" s="91"/>
      <c r="AL204"/>
      <c r="AM204"/>
      <c r="AN204"/>
      <c r="AO204"/>
      <c r="AP204"/>
      <c r="AQ204"/>
      <c r="AR20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4"/>
      <c r="BN204" s="224"/>
      <c r="BO204" s="224"/>
      <c r="BP204" s="224"/>
      <c r="BQ204" s="224"/>
      <c r="BR204" s="224"/>
      <c r="BS204" s="224"/>
      <c r="BT204" s="224"/>
      <c r="BU204" s="224"/>
      <c r="BV204" s="224"/>
      <c r="BW204" s="224"/>
      <c r="BX204" s="224"/>
      <c r="BY204" s="224"/>
      <c r="BZ204" s="224"/>
      <c r="CA204" s="224"/>
      <c r="CB204" s="224"/>
      <c r="CC204" s="224"/>
      <c r="CD204" s="224"/>
      <c r="CE204" s="224"/>
      <c r="CF204" s="224"/>
      <c r="CG204" s="224"/>
      <c r="CH204" s="224"/>
    </row>
    <row r="205" spans="1:86" s="1" customFormat="1" ht="18" customHeight="1">
      <c r="A205" s="614"/>
      <c r="B205" s="644"/>
      <c r="C205" s="194"/>
      <c r="D205" s="195"/>
      <c r="E205" s="196"/>
      <c r="F205" s="197"/>
      <c r="G205" s="606"/>
      <c r="H205" s="289" t="s">
        <v>162</v>
      </c>
      <c r="I205" s="286"/>
      <c r="J205" s="287">
        <v>1</v>
      </c>
      <c r="K205" s="365" t="s">
        <v>27</v>
      </c>
      <c r="L205" s="609"/>
      <c r="M205" s="289"/>
      <c r="N205" s="286"/>
      <c r="O205" s="287"/>
      <c r="P205" s="288" t="s">
        <v>0</v>
      </c>
      <c r="Q205" s="611"/>
      <c r="R205" s="452"/>
      <c r="S205" s="429"/>
      <c r="T205" s="453"/>
      <c r="U205" s="454" t="s">
        <v>0</v>
      </c>
      <c r="V205" s="611"/>
      <c r="W205" s="324"/>
      <c r="X205" s="429"/>
      <c r="Y205" s="430"/>
      <c r="Z205" s="431" t="s">
        <v>0</v>
      </c>
      <c r="AA205" s="606"/>
      <c r="AB205" s="289"/>
      <c r="AC205" s="286"/>
      <c r="AD205" s="287"/>
      <c r="AE205" s="288" t="s">
        <v>0</v>
      </c>
      <c r="AF205" s="655"/>
      <c r="AG205" s="12"/>
      <c r="AH205" s="13"/>
      <c r="AI205" s="57"/>
      <c r="AJ205" s="58"/>
      <c r="AK205" s="91"/>
      <c r="AL205"/>
      <c r="AM205"/>
      <c r="AN205"/>
      <c r="AO205"/>
      <c r="AP205"/>
      <c r="AQ205"/>
      <c r="AR205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4"/>
      <c r="BN205" s="224"/>
      <c r="BO205" s="224"/>
      <c r="BP205" s="224"/>
      <c r="BQ205" s="224"/>
      <c r="BR205" s="224"/>
      <c r="BS205" s="224"/>
      <c r="BT205" s="224"/>
      <c r="BU205" s="224"/>
      <c r="BV205" s="224"/>
      <c r="BW205" s="224"/>
      <c r="BX205" s="224"/>
      <c r="BY205" s="224"/>
      <c r="BZ205" s="224"/>
      <c r="CA205" s="224"/>
      <c r="CB205" s="224"/>
      <c r="CC205" s="224"/>
      <c r="CD205" s="224"/>
      <c r="CE205" s="224"/>
      <c r="CF205" s="224"/>
      <c r="CG205" s="224"/>
      <c r="CH205" s="224"/>
    </row>
    <row r="206" spans="1:86" s="1" customFormat="1" ht="18" customHeight="1">
      <c r="A206" s="614"/>
      <c r="B206" s="644"/>
      <c r="C206" s="194"/>
      <c r="D206" s="195"/>
      <c r="E206" s="196"/>
      <c r="F206" s="197"/>
      <c r="G206" s="606"/>
      <c r="H206" s="289"/>
      <c r="I206" s="286"/>
      <c r="J206" s="366"/>
      <c r="K206" s="288" t="s">
        <v>0</v>
      </c>
      <c r="L206" s="609"/>
      <c r="M206" s="289"/>
      <c r="N206" s="286"/>
      <c r="O206" s="287"/>
      <c r="P206" s="288" t="s">
        <v>0</v>
      </c>
      <c r="Q206" s="611"/>
      <c r="R206" s="452"/>
      <c r="S206" s="429"/>
      <c r="T206" s="453"/>
      <c r="U206" s="454" t="s">
        <v>0</v>
      </c>
      <c r="V206" s="611"/>
      <c r="W206" s="324"/>
      <c r="X206" s="429"/>
      <c r="Y206" s="430"/>
      <c r="Z206" s="431" t="s">
        <v>0</v>
      </c>
      <c r="AA206" s="606"/>
      <c r="AB206" s="289"/>
      <c r="AC206" s="286"/>
      <c r="AD206" s="287"/>
      <c r="AE206" s="288" t="s">
        <v>0</v>
      </c>
      <c r="AF206" s="655"/>
      <c r="AG206" s="12"/>
      <c r="AH206" s="13"/>
      <c r="AI206" s="57"/>
      <c r="AJ206" s="58"/>
      <c r="AK206" s="91"/>
      <c r="AL206"/>
      <c r="AM206"/>
      <c r="AN206"/>
      <c r="AO206"/>
      <c r="AP206"/>
      <c r="AQ206"/>
      <c r="AR206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4"/>
      <c r="BN206" s="224"/>
      <c r="BO206" s="224"/>
      <c r="BP206" s="224"/>
      <c r="BQ206" s="224"/>
      <c r="BR206" s="224"/>
      <c r="BS206" s="224"/>
      <c r="BT206" s="224"/>
      <c r="BU206" s="224"/>
      <c r="BV206" s="224"/>
      <c r="BW206" s="224"/>
      <c r="BX206" s="224"/>
      <c r="BY206" s="224"/>
      <c r="BZ206" s="224"/>
      <c r="CA206" s="224"/>
      <c r="CB206" s="224"/>
      <c r="CC206" s="224"/>
      <c r="CD206" s="224"/>
      <c r="CE206" s="224"/>
      <c r="CF206" s="224"/>
      <c r="CG206" s="224"/>
      <c r="CH206" s="224"/>
    </row>
    <row r="207" spans="1:86" s="1" customFormat="1" ht="18" customHeight="1" thickBot="1">
      <c r="A207" s="614"/>
      <c r="B207" s="644"/>
      <c r="C207" s="194"/>
      <c r="D207" s="195"/>
      <c r="E207" s="196"/>
      <c r="F207" s="197"/>
      <c r="G207" s="606"/>
      <c r="H207" s="311"/>
      <c r="I207" s="290"/>
      <c r="J207" s="287"/>
      <c r="K207" s="288" t="s">
        <v>0</v>
      </c>
      <c r="L207" s="609"/>
      <c r="M207" s="311"/>
      <c r="N207" s="290"/>
      <c r="O207" s="287"/>
      <c r="P207" s="291" t="s">
        <v>0</v>
      </c>
      <c r="Q207" s="611"/>
      <c r="R207" s="458"/>
      <c r="S207" s="434"/>
      <c r="T207" s="453"/>
      <c r="U207" s="454" t="s">
        <v>0</v>
      </c>
      <c r="V207" s="611"/>
      <c r="W207" s="433"/>
      <c r="X207" s="434"/>
      <c r="Y207" s="430"/>
      <c r="Z207" s="431" t="s">
        <v>0</v>
      </c>
      <c r="AA207" s="606"/>
      <c r="AB207" s="311"/>
      <c r="AC207" s="290"/>
      <c r="AD207" s="287"/>
      <c r="AE207" s="288" t="s">
        <v>0</v>
      </c>
      <c r="AF207" s="655"/>
      <c r="AG207" s="15"/>
      <c r="AH207" s="14"/>
      <c r="AI207" s="57"/>
      <c r="AJ207" s="58"/>
      <c r="AK207" s="91"/>
      <c r="AL207"/>
      <c r="AM207"/>
      <c r="AN207"/>
      <c r="AO207"/>
      <c r="AP207"/>
      <c r="AQ207"/>
      <c r="AR207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4"/>
      <c r="BN207" s="224"/>
      <c r="BO207" s="224"/>
      <c r="BP207" s="224"/>
      <c r="BQ207" s="224"/>
      <c r="BR207" s="224"/>
      <c r="BS207" s="224"/>
      <c r="BT207" s="224"/>
      <c r="BU207" s="224"/>
      <c r="BV207" s="224"/>
      <c r="BW207" s="224"/>
      <c r="BX207" s="224"/>
      <c r="BY207" s="224"/>
      <c r="BZ207" s="224"/>
      <c r="CA207" s="224"/>
      <c r="CB207" s="224"/>
      <c r="CC207" s="224"/>
      <c r="CD207" s="224"/>
      <c r="CE207" s="224"/>
      <c r="CF207" s="224"/>
      <c r="CG207" s="224"/>
      <c r="CH207" s="224"/>
    </row>
    <row r="208" spans="1:86" s="1" customFormat="1" ht="18" hidden="1" customHeight="1" thickBot="1">
      <c r="A208" s="614"/>
      <c r="B208" s="644"/>
      <c r="C208" s="194"/>
      <c r="D208" s="195"/>
      <c r="E208" s="196"/>
      <c r="F208" s="197"/>
      <c r="G208" s="606"/>
      <c r="H208" s="314"/>
      <c r="I208" s="294"/>
      <c r="J208" s="295"/>
      <c r="K208" s="288"/>
      <c r="L208" s="606"/>
      <c r="M208" s="325"/>
      <c r="N208" s="296"/>
      <c r="O208" s="307"/>
      <c r="P208" s="298"/>
      <c r="Q208" s="611"/>
      <c r="R208" s="313"/>
      <c r="S208" s="227"/>
      <c r="T208" s="308"/>
      <c r="U208" s="288"/>
      <c r="V208" s="611"/>
      <c r="W208" s="289"/>
      <c r="X208" s="292"/>
      <c r="Y208" s="293"/>
      <c r="Z208" s="297"/>
      <c r="AA208" s="606"/>
      <c r="AB208" s="314"/>
      <c r="AC208" s="294"/>
      <c r="AD208" s="295"/>
      <c r="AE208" s="288"/>
      <c r="AF208" s="655"/>
      <c r="AG208" s="12"/>
      <c r="AH208" s="13"/>
      <c r="AI208" s="67"/>
      <c r="AJ208" s="58"/>
      <c r="AK208" s="91"/>
      <c r="AL208"/>
      <c r="AM208"/>
      <c r="AN208"/>
      <c r="AO208"/>
      <c r="AP208"/>
      <c r="AQ208"/>
      <c r="AR208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4"/>
      <c r="BN208" s="224"/>
      <c r="BO208" s="224"/>
      <c r="BP208" s="224"/>
      <c r="BQ208" s="224"/>
      <c r="BR208" s="224"/>
      <c r="BS208" s="224"/>
      <c r="BT208" s="224"/>
      <c r="BU208" s="224"/>
      <c r="BV208" s="224"/>
      <c r="BW208" s="224"/>
      <c r="BX208" s="224"/>
      <c r="BY208" s="224"/>
      <c r="BZ208" s="224"/>
      <c r="CA208" s="224"/>
      <c r="CB208" s="224"/>
      <c r="CC208" s="224"/>
      <c r="CD208" s="224"/>
      <c r="CE208" s="224"/>
      <c r="CF208" s="224"/>
      <c r="CG208" s="224"/>
      <c r="CH208" s="224"/>
    </row>
    <row r="209" spans="1:86" s="1" customFormat="1" ht="18" hidden="1" customHeight="1">
      <c r="A209" s="614"/>
      <c r="B209" s="644"/>
      <c r="C209" s="194"/>
      <c r="D209" s="195"/>
      <c r="E209" s="196"/>
      <c r="F209" s="197"/>
      <c r="G209" s="606"/>
      <c r="H209" s="314"/>
      <c r="I209" s="294"/>
      <c r="J209" s="295"/>
      <c r="K209" s="288"/>
      <c r="L209" s="606"/>
      <c r="M209" s="325"/>
      <c r="N209" s="296"/>
      <c r="O209" s="307"/>
      <c r="P209" s="298"/>
      <c r="Q209" s="611"/>
      <c r="R209" s="313"/>
      <c r="S209" s="227"/>
      <c r="T209" s="308"/>
      <c r="U209" s="288"/>
      <c r="V209" s="611"/>
      <c r="W209" s="289"/>
      <c r="X209" s="292"/>
      <c r="Y209" s="293"/>
      <c r="Z209" s="297"/>
      <c r="AA209" s="606"/>
      <c r="AB209" s="314"/>
      <c r="AC209" s="294"/>
      <c r="AD209" s="295"/>
      <c r="AE209" s="288"/>
      <c r="AF209" s="655"/>
      <c r="AG209" s="12"/>
      <c r="AH209" s="13"/>
      <c r="AI209" s="67"/>
      <c r="AJ209" s="46"/>
      <c r="AK209" s="91"/>
      <c r="AL209"/>
      <c r="AM209"/>
      <c r="AN209"/>
      <c r="AO209"/>
      <c r="AP209"/>
      <c r="AQ209"/>
      <c r="AR209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4"/>
      <c r="BN209" s="224"/>
      <c r="BO209" s="224"/>
      <c r="BP209" s="224"/>
      <c r="BQ209" s="224"/>
      <c r="BR209" s="224"/>
      <c r="BS209" s="224"/>
      <c r="BT209" s="224"/>
      <c r="BU209" s="224"/>
      <c r="BV209" s="224"/>
      <c r="BW209" s="224"/>
      <c r="BX209" s="224"/>
      <c r="BY209" s="224"/>
      <c r="BZ209" s="224"/>
      <c r="CA209" s="224"/>
      <c r="CB209" s="224"/>
      <c r="CC209" s="224"/>
      <c r="CD209" s="224"/>
      <c r="CE209" s="224"/>
      <c r="CF209" s="224"/>
      <c r="CG209" s="224"/>
      <c r="CH209" s="224"/>
    </row>
    <row r="210" spans="1:86" s="1" customFormat="1" ht="18" hidden="1" customHeight="1">
      <c r="A210" s="614"/>
      <c r="B210" s="644"/>
      <c r="C210" s="194"/>
      <c r="D210" s="195"/>
      <c r="E210" s="196"/>
      <c r="F210" s="197"/>
      <c r="G210" s="606"/>
      <c r="H210" s="314"/>
      <c r="I210" s="294"/>
      <c r="J210" s="295"/>
      <c r="K210" s="288"/>
      <c r="L210" s="606"/>
      <c r="M210" s="325"/>
      <c r="N210" s="296"/>
      <c r="O210" s="307"/>
      <c r="P210" s="298"/>
      <c r="Q210" s="611"/>
      <c r="R210" s="313"/>
      <c r="S210" s="227"/>
      <c r="T210" s="308"/>
      <c r="U210" s="288"/>
      <c r="V210" s="611"/>
      <c r="W210" s="289"/>
      <c r="X210" s="292"/>
      <c r="Y210" s="293"/>
      <c r="Z210" s="297"/>
      <c r="AA210" s="606"/>
      <c r="AB210" s="314"/>
      <c r="AC210" s="294"/>
      <c r="AD210" s="295"/>
      <c r="AE210" s="288"/>
      <c r="AF210" s="655"/>
      <c r="AG210" s="12"/>
      <c r="AH210" s="13"/>
      <c r="AI210" s="67"/>
      <c r="AJ210" s="46"/>
      <c r="AK210" s="91"/>
      <c r="AL210"/>
      <c r="AM210"/>
      <c r="AN210"/>
      <c r="AO210"/>
      <c r="AP210"/>
      <c r="AQ210"/>
      <c r="AR210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  <c r="BP210" s="224"/>
      <c r="BQ210" s="224"/>
      <c r="BR210" s="224"/>
      <c r="BS210" s="224"/>
      <c r="BT210" s="224"/>
      <c r="BU210" s="224"/>
      <c r="BV210" s="224"/>
      <c r="BW210" s="224"/>
      <c r="BX210" s="224"/>
      <c r="BY210" s="224"/>
      <c r="BZ210" s="224"/>
      <c r="CA210" s="224"/>
      <c r="CB210" s="224"/>
      <c r="CC210" s="224"/>
      <c r="CD210" s="224"/>
      <c r="CE210" s="224"/>
      <c r="CF210" s="224"/>
      <c r="CG210" s="224"/>
      <c r="CH210" s="224"/>
    </row>
    <row r="211" spans="1:86" s="1" customFormat="1" ht="18" hidden="1" customHeight="1">
      <c r="A211" s="614"/>
      <c r="B211" s="644"/>
      <c r="C211" s="194"/>
      <c r="D211" s="195"/>
      <c r="E211" s="196"/>
      <c r="F211" s="197"/>
      <c r="G211" s="606"/>
      <c r="H211" s="314"/>
      <c r="I211" s="294"/>
      <c r="J211" s="295"/>
      <c r="K211" s="288"/>
      <c r="L211" s="606"/>
      <c r="M211" s="325"/>
      <c r="N211" s="296"/>
      <c r="O211" s="307"/>
      <c r="P211" s="298"/>
      <c r="Q211" s="611"/>
      <c r="R211" s="313"/>
      <c r="S211" s="227"/>
      <c r="T211" s="308"/>
      <c r="U211" s="288"/>
      <c r="V211" s="611"/>
      <c r="W211" s="289"/>
      <c r="X211" s="292"/>
      <c r="Y211" s="293"/>
      <c r="Z211" s="297"/>
      <c r="AA211" s="606"/>
      <c r="AB211" s="314"/>
      <c r="AC211" s="294"/>
      <c r="AD211" s="295"/>
      <c r="AE211" s="288"/>
      <c r="AF211" s="655"/>
      <c r="AG211" s="12"/>
      <c r="AH211" s="13"/>
      <c r="AI211" s="67"/>
      <c r="AJ211" s="46"/>
      <c r="AK211" s="91"/>
      <c r="AL211"/>
      <c r="AM211"/>
      <c r="AN211"/>
      <c r="AO211"/>
      <c r="AP211"/>
      <c r="AQ211"/>
      <c r="AR211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4"/>
      <c r="BN211" s="224"/>
      <c r="BO211" s="224"/>
      <c r="BP211" s="224"/>
      <c r="BQ211" s="224"/>
      <c r="BR211" s="224"/>
      <c r="BS211" s="224"/>
      <c r="BT211" s="224"/>
      <c r="BU211" s="224"/>
      <c r="BV211" s="224"/>
      <c r="BW211" s="224"/>
      <c r="BX211" s="224"/>
      <c r="BY211" s="224"/>
      <c r="BZ211" s="224"/>
      <c r="CA211" s="224"/>
      <c r="CB211" s="224"/>
      <c r="CC211" s="224"/>
      <c r="CD211" s="224"/>
      <c r="CE211" s="224"/>
      <c r="CF211" s="224"/>
      <c r="CG211" s="224"/>
      <c r="CH211" s="224"/>
    </row>
    <row r="212" spans="1:86" s="1" customFormat="1" ht="18" hidden="1" customHeight="1">
      <c r="A212" s="614"/>
      <c r="B212" s="644"/>
      <c r="C212" s="194"/>
      <c r="D212" s="195"/>
      <c r="E212" s="196"/>
      <c r="F212" s="197"/>
      <c r="G212" s="606"/>
      <c r="H212" s="314"/>
      <c r="I212" s="294"/>
      <c r="J212" s="295"/>
      <c r="K212" s="288"/>
      <c r="L212" s="606"/>
      <c r="M212" s="325"/>
      <c r="N212" s="296"/>
      <c r="O212" s="307"/>
      <c r="P212" s="298"/>
      <c r="Q212" s="611"/>
      <c r="R212" s="313"/>
      <c r="S212" s="227"/>
      <c r="T212" s="308"/>
      <c r="U212" s="288"/>
      <c r="V212" s="611"/>
      <c r="W212" s="289"/>
      <c r="X212" s="292"/>
      <c r="Y212" s="293"/>
      <c r="Z212" s="297"/>
      <c r="AA212" s="606"/>
      <c r="AB212" s="314"/>
      <c r="AC212" s="294"/>
      <c r="AD212" s="295"/>
      <c r="AE212" s="288"/>
      <c r="AF212" s="655"/>
      <c r="AG212" s="12"/>
      <c r="AH212" s="13"/>
      <c r="AI212" s="67"/>
      <c r="AJ212" s="46"/>
      <c r="AK212" s="91"/>
      <c r="AL212"/>
      <c r="AM212"/>
      <c r="AN212"/>
      <c r="AO212"/>
      <c r="AP212"/>
      <c r="AQ212"/>
      <c r="AR212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4"/>
      <c r="BN212" s="224"/>
      <c r="BO212" s="224"/>
      <c r="BP212" s="224"/>
      <c r="BQ212" s="224"/>
      <c r="BR212" s="224"/>
      <c r="BS212" s="224"/>
      <c r="BT212" s="224"/>
      <c r="BU212" s="224"/>
      <c r="BV212" s="224"/>
      <c r="BW212" s="224"/>
      <c r="BX212" s="224"/>
      <c r="BY212" s="224"/>
      <c r="BZ212" s="224"/>
      <c r="CA212" s="224"/>
      <c r="CB212" s="224"/>
      <c r="CC212" s="224"/>
      <c r="CD212" s="224"/>
      <c r="CE212" s="224"/>
      <c r="CF212" s="224"/>
      <c r="CG212" s="224"/>
      <c r="CH212" s="224"/>
    </row>
    <row r="213" spans="1:86" s="1" customFormat="1" ht="18" hidden="1" customHeight="1">
      <c r="A213" s="614"/>
      <c r="B213" s="644"/>
      <c r="C213" s="194"/>
      <c r="D213" s="195"/>
      <c r="E213" s="196"/>
      <c r="F213" s="197"/>
      <c r="G213" s="606"/>
      <c r="H213" s="314"/>
      <c r="I213" s="294"/>
      <c r="J213" s="295"/>
      <c r="K213" s="288"/>
      <c r="L213" s="606"/>
      <c r="M213" s="325"/>
      <c r="N213" s="296"/>
      <c r="O213" s="307"/>
      <c r="P213" s="298"/>
      <c r="Q213" s="611"/>
      <c r="R213" s="313"/>
      <c r="S213" s="227"/>
      <c r="T213" s="308"/>
      <c r="U213" s="288"/>
      <c r="V213" s="611"/>
      <c r="W213" s="289"/>
      <c r="X213" s="292"/>
      <c r="Y213" s="293"/>
      <c r="Z213" s="297"/>
      <c r="AA213" s="606"/>
      <c r="AB213" s="314"/>
      <c r="AC213" s="294"/>
      <c r="AD213" s="295"/>
      <c r="AE213" s="288"/>
      <c r="AF213" s="655"/>
      <c r="AG213" s="12"/>
      <c r="AH213" s="13"/>
      <c r="AI213" s="67"/>
      <c r="AJ213" s="46"/>
      <c r="AK213" s="91"/>
      <c r="AL213"/>
      <c r="AM213"/>
      <c r="AN213"/>
      <c r="AO213"/>
      <c r="AP213"/>
      <c r="AQ213"/>
      <c r="AR213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4"/>
      <c r="BN213" s="224"/>
      <c r="BO213" s="224"/>
      <c r="BP213" s="224"/>
      <c r="BQ213" s="224"/>
      <c r="BR213" s="224"/>
      <c r="BS213" s="224"/>
      <c r="BT213" s="224"/>
      <c r="BU213" s="224"/>
      <c r="BV213" s="224"/>
      <c r="BW213" s="224"/>
      <c r="BX213" s="224"/>
      <c r="BY213" s="224"/>
      <c r="BZ213" s="224"/>
      <c r="CA213" s="224"/>
      <c r="CB213" s="224"/>
      <c r="CC213" s="224"/>
      <c r="CD213" s="224"/>
      <c r="CE213" s="224"/>
      <c r="CF213" s="224"/>
      <c r="CG213" s="224"/>
      <c r="CH213" s="224"/>
    </row>
    <row r="214" spans="1:86" s="1" customFormat="1" ht="18" hidden="1" customHeight="1">
      <c r="A214" s="615"/>
      <c r="B214" s="644"/>
      <c r="C214" s="194"/>
      <c r="D214" s="195"/>
      <c r="E214" s="196"/>
      <c r="F214" s="197"/>
      <c r="G214" s="607"/>
      <c r="H214" s="316"/>
      <c r="I214" s="302"/>
      <c r="J214" s="303"/>
      <c r="K214" s="291"/>
      <c r="L214" s="607"/>
      <c r="M214" s="326"/>
      <c r="N214" s="304"/>
      <c r="O214" s="309"/>
      <c r="P214" s="305"/>
      <c r="Q214" s="612"/>
      <c r="R214" s="313"/>
      <c r="S214" s="227"/>
      <c r="T214" s="308"/>
      <c r="U214" s="288"/>
      <c r="V214" s="612"/>
      <c r="W214" s="311"/>
      <c r="X214" s="299"/>
      <c r="Y214" s="300"/>
      <c r="Z214" s="301"/>
      <c r="AA214" s="607"/>
      <c r="AB214" s="316"/>
      <c r="AC214" s="302"/>
      <c r="AD214" s="303"/>
      <c r="AE214" s="291"/>
      <c r="AF214" s="656"/>
      <c r="AG214" s="15"/>
      <c r="AH214" s="14"/>
      <c r="AI214" s="68"/>
      <c r="AJ214" s="41"/>
      <c r="AK214" s="91"/>
      <c r="AL214"/>
      <c r="AM214"/>
      <c r="AN214"/>
      <c r="AO214"/>
      <c r="AP214"/>
      <c r="AQ214"/>
      <c r="AR21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4"/>
      <c r="BN214" s="224"/>
      <c r="BO214" s="224"/>
      <c r="BP214" s="224"/>
      <c r="BQ214" s="224"/>
      <c r="BR214" s="224"/>
      <c r="BS214" s="224"/>
      <c r="BT214" s="224"/>
      <c r="BU214" s="224"/>
      <c r="BV214" s="224"/>
      <c r="BW214" s="224"/>
      <c r="BX214" s="224"/>
      <c r="BY214" s="224"/>
      <c r="BZ214" s="224"/>
      <c r="CA214" s="224"/>
      <c r="CB214" s="224"/>
      <c r="CC214" s="224"/>
      <c r="CD214" s="224"/>
      <c r="CE214" s="224"/>
      <c r="CF214" s="224"/>
      <c r="CG214" s="224"/>
      <c r="CH214" s="224"/>
    </row>
    <row r="215" spans="1:86" s="1" customFormat="1" ht="18" customHeight="1">
      <c r="A215" s="514" t="s">
        <v>59</v>
      </c>
      <c r="B215" s="159"/>
      <c r="C215" s="160"/>
      <c r="D215" s="161"/>
      <c r="E215" s="162"/>
      <c r="F215" s="163"/>
      <c r="G215" s="148" t="s">
        <v>101</v>
      </c>
      <c r="H215" s="151" t="s">
        <v>101</v>
      </c>
      <c r="I215" s="216"/>
      <c r="J215" s="151">
        <v>1860</v>
      </c>
      <c r="K215" s="152" t="s">
        <v>10</v>
      </c>
      <c r="L215" s="148" t="s">
        <v>89</v>
      </c>
      <c r="M215" s="164" t="s">
        <v>90</v>
      </c>
      <c r="N215" s="216"/>
      <c r="O215" s="151">
        <v>1529</v>
      </c>
      <c r="P215" s="152" t="s">
        <v>10</v>
      </c>
      <c r="Q215" s="148" t="s">
        <v>7</v>
      </c>
      <c r="R215" s="164" t="s">
        <v>88</v>
      </c>
      <c r="S215" s="217"/>
      <c r="T215" s="151">
        <v>2143</v>
      </c>
      <c r="U215" s="152" t="s">
        <v>10</v>
      </c>
      <c r="V215" s="148" t="s">
        <v>89</v>
      </c>
      <c r="W215" s="164" t="s">
        <v>90</v>
      </c>
      <c r="X215" s="216"/>
      <c r="Y215" s="151">
        <v>1524</v>
      </c>
      <c r="Z215" s="152" t="s">
        <v>10</v>
      </c>
      <c r="AA215" s="148" t="s">
        <v>7</v>
      </c>
      <c r="AB215" s="164" t="s">
        <v>7</v>
      </c>
      <c r="AC215" s="165"/>
      <c r="AD215" s="151">
        <v>2154</v>
      </c>
      <c r="AE215" s="152" t="s">
        <v>10</v>
      </c>
      <c r="AF215" s="148"/>
      <c r="AG215" s="149"/>
      <c r="AH215" s="150"/>
      <c r="AI215" s="149"/>
      <c r="AJ215" s="166"/>
      <c r="AK215" s="91"/>
      <c r="AL215"/>
      <c r="AM215"/>
      <c r="AN215"/>
      <c r="AO215"/>
      <c r="AP215"/>
      <c r="AQ215"/>
      <c r="AR215"/>
      <c r="AS215" s="224"/>
      <c r="AT215" s="224"/>
      <c r="AU215" s="224"/>
      <c r="AV215" s="224"/>
      <c r="AW215" s="224"/>
      <c r="AX215" s="224"/>
      <c r="AY215" s="224"/>
      <c r="AZ215" s="224"/>
      <c r="BA215" s="224"/>
      <c r="BB215" s="224"/>
      <c r="BC215" s="224"/>
      <c r="BD215" s="224"/>
      <c r="BE215" s="224"/>
      <c r="BF215" s="224"/>
      <c r="BG215" s="224"/>
      <c r="BH215" s="224"/>
      <c r="BI215" s="224"/>
      <c r="BJ215" s="224"/>
      <c r="BK215" s="224"/>
      <c r="BL215" s="224"/>
      <c r="BM215" s="224"/>
      <c r="BN215" s="224"/>
      <c r="BO215" s="224"/>
      <c r="BP215" s="224"/>
      <c r="BQ215" s="224"/>
      <c r="BR215" s="224"/>
      <c r="BS215" s="224"/>
      <c r="BT215" s="224"/>
      <c r="BU215" s="224"/>
      <c r="BV215" s="224"/>
      <c r="BW215" s="224"/>
      <c r="BX215" s="224"/>
      <c r="BY215" s="224"/>
      <c r="BZ215" s="224"/>
      <c r="CA215" s="224"/>
      <c r="CB215" s="224"/>
      <c r="CC215" s="224"/>
      <c r="CD215" s="224"/>
      <c r="CE215" s="224"/>
      <c r="CF215" s="224"/>
      <c r="CG215" s="224"/>
      <c r="CH215" s="224"/>
    </row>
    <row r="216" spans="1:86" s="1" customFormat="1" ht="18" customHeight="1">
      <c r="A216" s="515"/>
      <c r="B216" s="235"/>
      <c r="C216" s="236"/>
      <c r="D216" s="237"/>
      <c r="E216" s="238"/>
      <c r="F216" s="239"/>
      <c r="G216" s="240"/>
      <c r="H216" s="236" t="s">
        <v>116</v>
      </c>
      <c r="I216" s="271"/>
      <c r="J216" s="242"/>
      <c r="K216" s="243"/>
      <c r="L216" s="240"/>
      <c r="M216" s="236" t="s">
        <v>116</v>
      </c>
      <c r="N216" s="241"/>
      <c r="O216" s="236"/>
      <c r="P216" s="243"/>
      <c r="Q216" s="240"/>
      <c r="R216" s="236" t="s">
        <v>116</v>
      </c>
      <c r="S216" s="241"/>
      <c r="T216" s="236"/>
      <c r="U216" s="243"/>
      <c r="V216" s="240"/>
      <c r="W216" s="236" t="s">
        <v>116</v>
      </c>
      <c r="X216" s="271"/>
      <c r="Y216" s="242"/>
      <c r="Z216" s="243"/>
      <c r="AA216" s="240"/>
      <c r="AB216" s="236" t="s">
        <v>116</v>
      </c>
      <c r="AC216" s="241"/>
      <c r="AD216" s="236"/>
      <c r="AE216" s="243"/>
      <c r="AF216" s="240"/>
      <c r="AG216" s="244"/>
      <c r="AH216" s="245"/>
      <c r="AI216" s="244"/>
      <c r="AJ216" s="243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</row>
    <row r="217" spans="1:86" s="1" customFormat="1" ht="18" customHeight="1">
      <c r="A217" s="515"/>
      <c r="B217" s="235"/>
      <c r="C217" s="236"/>
      <c r="D217" s="237"/>
      <c r="E217" s="238"/>
      <c r="F217" s="239"/>
      <c r="G217" s="235"/>
      <c r="H217" s="236" t="s">
        <v>117</v>
      </c>
      <c r="I217" s="271"/>
      <c r="J217" s="242"/>
      <c r="K217" s="239"/>
      <c r="L217" s="235"/>
      <c r="M217" s="236" t="s">
        <v>117</v>
      </c>
      <c r="N217" s="241"/>
      <c r="O217" s="236"/>
      <c r="P217" s="239"/>
      <c r="Q217" s="240"/>
      <c r="R217" s="236" t="s">
        <v>117</v>
      </c>
      <c r="S217" s="241"/>
      <c r="T217" s="236"/>
      <c r="U217" s="243"/>
      <c r="V217" s="240"/>
      <c r="W217" s="236" t="s">
        <v>117</v>
      </c>
      <c r="X217" s="271"/>
      <c r="Y217" s="242"/>
      <c r="Z217" s="243"/>
      <c r="AA217" s="240"/>
      <c r="AB217" s="236" t="s">
        <v>117</v>
      </c>
      <c r="AC217" s="241"/>
      <c r="AD217" s="236"/>
      <c r="AE217" s="243"/>
      <c r="AF217" s="235"/>
      <c r="AG217" s="236"/>
      <c r="AH217" s="237"/>
      <c r="AI217" s="238"/>
      <c r="AJ217" s="239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</row>
    <row r="218" spans="1:86" s="1" customFormat="1" ht="18" customHeight="1">
      <c r="A218" s="515"/>
      <c r="B218" s="235"/>
      <c r="C218" s="236"/>
      <c r="D218" s="237"/>
      <c r="E218" s="238"/>
      <c r="F218" s="239"/>
      <c r="G218" s="235"/>
      <c r="H218" s="236" t="s">
        <v>118</v>
      </c>
      <c r="I218" s="271"/>
      <c r="J218" s="242"/>
      <c r="K218" s="239"/>
      <c r="L218" s="235"/>
      <c r="M218" s="236" t="s">
        <v>118</v>
      </c>
      <c r="N218" s="241"/>
      <c r="O218" s="236"/>
      <c r="P218" s="239"/>
      <c r="Q218" s="240"/>
      <c r="R218" s="236" t="s">
        <v>118</v>
      </c>
      <c r="S218" s="241"/>
      <c r="T218" s="236"/>
      <c r="U218" s="243"/>
      <c r="V218" s="240"/>
      <c r="W218" s="236" t="s">
        <v>118</v>
      </c>
      <c r="X218" s="271"/>
      <c r="Y218" s="242"/>
      <c r="Z218" s="243"/>
      <c r="AA218" s="240"/>
      <c r="AB218" s="236" t="s">
        <v>118</v>
      </c>
      <c r="AC218" s="241"/>
      <c r="AD218" s="236"/>
      <c r="AE218" s="243"/>
      <c r="AF218" s="235"/>
      <c r="AG218" s="236"/>
      <c r="AH218" s="237"/>
      <c r="AI218" s="238"/>
      <c r="AJ218" s="239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</row>
    <row r="219" spans="1:86" s="1" customFormat="1" ht="18" customHeight="1" thickBot="1">
      <c r="A219" s="515"/>
      <c r="B219" s="235"/>
      <c r="C219" s="236"/>
      <c r="D219" s="237"/>
      <c r="E219" s="238"/>
      <c r="F219" s="239"/>
      <c r="G219" s="246"/>
      <c r="H219" s="247" t="s">
        <v>119</v>
      </c>
      <c r="I219" s="272"/>
      <c r="J219" s="249"/>
      <c r="K219" s="250"/>
      <c r="L219" s="246"/>
      <c r="M219" s="247" t="s">
        <v>119</v>
      </c>
      <c r="N219" s="248"/>
      <c r="O219" s="247"/>
      <c r="P219" s="250"/>
      <c r="Q219" s="251"/>
      <c r="R219" s="247" t="s">
        <v>119</v>
      </c>
      <c r="S219" s="248"/>
      <c r="T219" s="247"/>
      <c r="U219" s="252"/>
      <c r="V219" s="251"/>
      <c r="W219" s="247" t="s">
        <v>119</v>
      </c>
      <c r="X219" s="272"/>
      <c r="Y219" s="249"/>
      <c r="Z219" s="252"/>
      <c r="AA219" s="251"/>
      <c r="AB219" s="247" t="s">
        <v>119</v>
      </c>
      <c r="AC219" s="248"/>
      <c r="AD219" s="247"/>
      <c r="AE219" s="252"/>
      <c r="AF219" s="235"/>
      <c r="AG219" s="236"/>
      <c r="AH219" s="237"/>
      <c r="AI219" s="238"/>
      <c r="AJ219" s="23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</row>
    <row r="220" spans="1:86" s="1" customFormat="1" ht="18" customHeight="1">
      <c r="A220" s="515"/>
      <c r="B220" s="167"/>
      <c r="C220" s="168"/>
      <c r="D220" s="169"/>
      <c r="E220" s="170"/>
      <c r="F220" s="171"/>
      <c r="G220" s="153"/>
      <c r="H220" s="154"/>
      <c r="I220" s="174"/>
      <c r="J220" s="154"/>
      <c r="K220" s="156"/>
      <c r="L220" s="153" t="s">
        <v>91</v>
      </c>
      <c r="M220" s="154" t="s">
        <v>91</v>
      </c>
      <c r="N220" s="174"/>
      <c r="O220" s="154">
        <v>285</v>
      </c>
      <c r="P220" s="156" t="s">
        <v>10</v>
      </c>
      <c r="Q220" s="153"/>
      <c r="R220" s="154"/>
      <c r="S220" s="155"/>
      <c r="T220" s="172"/>
      <c r="U220" s="173"/>
      <c r="V220" s="153" t="s">
        <v>91</v>
      </c>
      <c r="W220" s="154" t="s">
        <v>91</v>
      </c>
      <c r="X220" s="174"/>
      <c r="Y220" s="154">
        <v>283</v>
      </c>
      <c r="Z220" s="156" t="s">
        <v>10</v>
      </c>
      <c r="AA220" s="153"/>
      <c r="AB220" s="154"/>
      <c r="AC220" s="155"/>
      <c r="AD220" s="154"/>
      <c r="AE220" s="156"/>
      <c r="AF220" s="153"/>
      <c r="AG220" s="154"/>
      <c r="AH220" s="155"/>
      <c r="AI220" s="154"/>
      <c r="AJ220" s="156"/>
      <c r="AK220" s="91"/>
      <c r="AL220"/>
      <c r="AM220"/>
      <c r="AN220"/>
      <c r="AO220"/>
      <c r="AP220"/>
      <c r="AQ220"/>
      <c r="AR220"/>
      <c r="AS220" s="224"/>
      <c r="AT220" s="224"/>
      <c r="AU220" s="224"/>
      <c r="AV220" s="224"/>
      <c r="AW220" s="224"/>
      <c r="AX220" s="224"/>
      <c r="AY220" s="224"/>
      <c r="AZ220" s="224"/>
      <c r="BA220" s="224"/>
      <c r="BB220" s="224"/>
      <c r="BC220" s="224"/>
      <c r="BD220" s="224"/>
      <c r="BE220" s="224"/>
      <c r="BF220" s="224"/>
      <c r="BG220" s="224"/>
      <c r="BH220" s="224"/>
      <c r="BI220" s="224"/>
      <c r="BJ220" s="224"/>
      <c r="BK220" s="224"/>
      <c r="BL220" s="224"/>
      <c r="BM220" s="224"/>
      <c r="BN220" s="224"/>
      <c r="BO220" s="224"/>
      <c r="BP220" s="224"/>
      <c r="BQ220" s="224"/>
      <c r="BR220" s="224"/>
      <c r="BS220" s="224"/>
      <c r="BT220" s="224"/>
      <c r="BU220" s="224"/>
      <c r="BV220" s="224"/>
      <c r="BW220" s="224"/>
      <c r="BX220" s="224"/>
      <c r="BY220" s="224"/>
      <c r="BZ220" s="224"/>
      <c r="CA220" s="224"/>
      <c r="CB220" s="224"/>
      <c r="CC220" s="224"/>
      <c r="CD220" s="224"/>
      <c r="CE220" s="224"/>
      <c r="CF220" s="224"/>
      <c r="CG220" s="224"/>
      <c r="CH220" s="224"/>
    </row>
    <row r="221" spans="1:86" s="1" customFormat="1" ht="18" hidden="1" customHeight="1" thickBot="1">
      <c r="A221" s="515"/>
      <c r="B221" s="167"/>
      <c r="C221" s="168"/>
      <c r="D221" s="169"/>
      <c r="E221" s="170"/>
      <c r="F221" s="171"/>
      <c r="G221" s="153"/>
      <c r="H221" s="154"/>
      <c r="I221" s="174"/>
      <c r="J221" s="154"/>
      <c r="K221" s="156"/>
      <c r="L221" s="153"/>
      <c r="M221" s="154"/>
      <c r="N221" s="174"/>
      <c r="O221" s="154"/>
      <c r="P221" s="156"/>
      <c r="Q221" s="153"/>
      <c r="R221" s="154"/>
      <c r="S221" s="155"/>
      <c r="T221" s="154"/>
      <c r="U221" s="156"/>
      <c r="V221" s="153"/>
      <c r="W221" s="154"/>
      <c r="X221" s="174"/>
      <c r="Y221" s="154"/>
      <c r="Z221" s="156"/>
      <c r="AA221" s="153"/>
      <c r="AB221" s="154"/>
      <c r="AC221" s="155"/>
      <c r="AD221" s="154"/>
      <c r="AE221" s="156"/>
      <c r="AF221" s="153"/>
      <c r="AG221" s="154"/>
      <c r="AH221" s="155"/>
      <c r="AI221" s="154"/>
      <c r="AJ221" s="156"/>
      <c r="AK221" s="91"/>
      <c r="AL221"/>
      <c r="AM221"/>
      <c r="AN221"/>
      <c r="AO221"/>
      <c r="AP221"/>
      <c r="AQ221"/>
      <c r="AR221"/>
      <c r="AS221" s="224"/>
      <c r="AT221" s="224"/>
      <c r="AU221" s="224"/>
      <c r="AV221" s="224"/>
      <c r="AW221" s="224"/>
      <c r="AX221" s="224"/>
      <c r="AY221" s="224"/>
      <c r="AZ221" s="224"/>
      <c r="BA221" s="224"/>
      <c r="BB221" s="224"/>
      <c r="BC221" s="224"/>
      <c r="BD221" s="224"/>
      <c r="BE221" s="224"/>
      <c r="BF221" s="224"/>
      <c r="BG221" s="224"/>
      <c r="BH221" s="224"/>
      <c r="BI221" s="224"/>
      <c r="BJ221" s="224"/>
      <c r="BK221" s="224"/>
      <c r="BL221" s="224"/>
      <c r="BM221" s="224"/>
      <c r="BN221" s="224"/>
      <c r="BO221" s="224"/>
      <c r="BP221" s="224"/>
      <c r="BQ221" s="224"/>
      <c r="BR221" s="224"/>
      <c r="BS221" s="224"/>
      <c r="BT221" s="224"/>
      <c r="BU221" s="224"/>
      <c r="BV221" s="224"/>
      <c r="BW221" s="224"/>
      <c r="BX221" s="224"/>
      <c r="BY221" s="224"/>
      <c r="BZ221" s="224"/>
      <c r="CA221" s="224"/>
      <c r="CB221" s="224"/>
      <c r="CC221" s="224"/>
      <c r="CD221" s="224"/>
      <c r="CE221" s="224"/>
      <c r="CF221" s="224"/>
      <c r="CG221" s="224"/>
      <c r="CH221" s="224"/>
    </row>
    <row r="222" spans="1:86" s="1" customFormat="1" ht="18" hidden="1" customHeight="1">
      <c r="A222" s="515"/>
      <c r="B222" s="167"/>
      <c r="C222" s="168"/>
      <c r="D222" s="169"/>
      <c r="E222" s="170"/>
      <c r="F222" s="171"/>
      <c r="G222" s="153"/>
      <c r="H222" s="154"/>
      <c r="I222" s="174"/>
      <c r="J222" s="154"/>
      <c r="K222" s="156"/>
      <c r="L222" s="153"/>
      <c r="M222" s="154"/>
      <c r="N222" s="174"/>
      <c r="O222" s="154"/>
      <c r="P222" s="156"/>
      <c r="Q222" s="153"/>
      <c r="R222" s="154"/>
      <c r="S222" s="155"/>
      <c r="T222" s="154"/>
      <c r="U222" s="156"/>
      <c r="V222" s="153"/>
      <c r="W222" s="154"/>
      <c r="X222" s="174"/>
      <c r="Y222" s="154"/>
      <c r="Z222" s="156"/>
      <c r="AA222" s="153"/>
      <c r="AB222" s="154"/>
      <c r="AC222" s="155"/>
      <c r="AD222" s="154"/>
      <c r="AE222" s="156"/>
      <c r="AF222" s="153"/>
      <c r="AG222" s="154"/>
      <c r="AH222" s="155"/>
      <c r="AI222" s="154"/>
      <c r="AJ222" s="156"/>
      <c r="AK222" s="91"/>
      <c r="AL222"/>
      <c r="AM222"/>
      <c r="AN222"/>
      <c r="AO222"/>
      <c r="AP222"/>
      <c r="AQ222"/>
      <c r="AR222"/>
      <c r="AS222" s="224"/>
      <c r="AT222" s="224"/>
      <c r="AU222" s="224"/>
      <c r="AV222" s="224"/>
      <c r="AW222" s="224"/>
      <c r="AX222" s="224"/>
      <c r="AY222" s="224"/>
      <c r="AZ222" s="224"/>
      <c r="BA222" s="224"/>
      <c r="BB222" s="224"/>
      <c r="BC222" s="224"/>
      <c r="BD222" s="224"/>
      <c r="BE222" s="224"/>
      <c r="BF222" s="224"/>
      <c r="BG222" s="224"/>
      <c r="BH222" s="224"/>
      <c r="BI222" s="224"/>
      <c r="BJ222" s="224"/>
      <c r="BK222" s="224"/>
      <c r="BL222" s="224"/>
      <c r="BM222" s="224"/>
      <c r="BN222" s="224"/>
      <c r="BO222" s="224"/>
      <c r="BP222" s="224"/>
      <c r="BQ222" s="224"/>
      <c r="BR222" s="224"/>
      <c r="BS222" s="224"/>
      <c r="BT222" s="224"/>
      <c r="BU222" s="224"/>
      <c r="BV222" s="224"/>
      <c r="BW222" s="224"/>
      <c r="BX222" s="224"/>
      <c r="BY222" s="224"/>
      <c r="BZ222" s="224"/>
      <c r="CA222" s="224"/>
      <c r="CB222" s="224"/>
      <c r="CC222" s="224"/>
      <c r="CD222" s="224"/>
      <c r="CE222" s="224"/>
      <c r="CF222" s="224"/>
      <c r="CG222" s="224"/>
      <c r="CH222" s="224"/>
    </row>
    <row r="223" spans="1:86" s="1" customFormat="1" ht="18" hidden="1" customHeight="1">
      <c r="A223" s="515"/>
      <c r="B223" s="167"/>
      <c r="C223" s="168"/>
      <c r="D223" s="169"/>
      <c r="E223" s="170"/>
      <c r="F223" s="171"/>
      <c r="G223" s="153"/>
      <c r="H223" s="154"/>
      <c r="I223" s="174"/>
      <c r="J223" s="154"/>
      <c r="K223" s="156"/>
      <c r="L223" s="153"/>
      <c r="M223" s="154"/>
      <c r="N223" s="174"/>
      <c r="O223" s="154"/>
      <c r="P223" s="156"/>
      <c r="Q223" s="153"/>
      <c r="R223" s="154"/>
      <c r="S223" s="155"/>
      <c r="T223" s="154"/>
      <c r="U223" s="156"/>
      <c r="V223" s="153"/>
      <c r="W223" s="154"/>
      <c r="X223" s="174"/>
      <c r="Y223" s="154"/>
      <c r="Z223" s="156"/>
      <c r="AA223" s="153"/>
      <c r="AB223" s="154"/>
      <c r="AC223" s="155"/>
      <c r="AD223" s="154"/>
      <c r="AE223" s="156"/>
      <c r="AF223" s="153"/>
      <c r="AG223" s="154"/>
      <c r="AH223" s="155"/>
      <c r="AI223" s="154"/>
      <c r="AJ223" s="156"/>
      <c r="AK223" s="91"/>
      <c r="AL223"/>
      <c r="AM223"/>
      <c r="AN223"/>
      <c r="AO223"/>
      <c r="AP223"/>
      <c r="AQ223"/>
      <c r="AR223"/>
      <c r="AS223" s="224"/>
      <c r="AT223" s="224"/>
      <c r="AU223" s="224"/>
      <c r="AV223" s="224"/>
      <c r="AW223" s="224"/>
      <c r="AX223" s="224"/>
      <c r="AY223" s="224"/>
      <c r="AZ223" s="224"/>
      <c r="BA223" s="224"/>
      <c r="BB223" s="224"/>
      <c r="BC223" s="224"/>
      <c r="BD223" s="224"/>
      <c r="BE223" s="224"/>
      <c r="BF223" s="224"/>
      <c r="BG223" s="224"/>
      <c r="BH223" s="224"/>
      <c r="BI223" s="224"/>
      <c r="BJ223" s="224"/>
      <c r="BK223" s="224"/>
      <c r="BL223" s="224"/>
      <c r="BM223" s="224"/>
      <c r="BN223" s="224"/>
      <c r="BO223" s="224"/>
      <c r="BP223" s="224"/>
      <c r="BQ223" s="224"/>
      <c r="BR223" s="224"/>
      <c r="BS223" s="224"/>
      <c r="BT223" s="224"/>
      <c r="BU223" s="224"/>
      <c r="BV223" s="224"/>
      <c r="BW223" s="224"/>
      <c r="BX223" s="224"/>
      <c r="BY223" s="224"/>
      <c r="BZ223" s="224"/>
      <c r="CA223" s="224"/>
      <c r="CB223" s="224"/>
      <c r="CC223" s="224"/>
      <c r="CD223" s="224"/>
      <c r="CE223" s="224"/>
      <c r="CF223" s="224"/>
      <c r="CG223" s="224"/>
      <c r="CH223" s="224"/>
    </row>
    <row r="224" spans="1:86" s="1" customFormat="1" ht="18" hidden="1" customHeight="1">
      <c r="A224" s="515"/>
      <c r="B224" s="167"/>
      <c r="C224" s="168"/>
      <c r="D224" s="169"/>
      <c r="E224" s="170"/>
      <c r="F224" s="171"/>
      <c r="G224" s="153"/>
      <c r="H224" s="154"/>
      <c r="I224" s="174"/>
      <c r="J224" s="154"/>
      <c r="K224" s="156"/>
      <c r="L224" s="153"/>
      <c r="M224" s="154"/>
      <c r="N224" s="174"/>
      <c r="O224" s="154"/>
      <c r="P224" s="156"/>
      <c r="Q224" s="153"/>
      <c r="R224" s="154"/>
      <c r="S224" s="155"/>
      <c r="T224" s="154"/>
      <c r="U224" s="156"/>
      <c r="V224" s="153"/>
      <c r="W224" s="154"/>
      <c r="X224" s="174"/>
      <c r="Y224" s="154"/>
      <c r="Z224" s="156"/>
      <c r="AA224" s="153"/>
      <c r="AB224" s="154"/>
      <c r="AC224" s="155"/>
      <c r="AD224" s="154"/>
      <c r="AE224" s="156"/>
      <c r="AF224" s="153"/>
      <c r="AG224" s="154"/>
      <c r="AH224" s="155"/>
      <c r="AI224" s="154"/>
      <c r="AJ224" s="156"/>
      <c r="AK224" s="91"/>
      <c r="AL224"/>
      <c r="AM224"/>
      <c r="AN224"/>
      <c r="AO224"/>
      <c r="AP224"/>
      <c r="AQ224"/>
      <c r="AR224"/>
      <c r="AS224" s="224"/>
      <c r="AT224" s="224"/>
      <c r="AU224" s="224"/>
      <c r="AV224" s="224"/>
      <c r="AW224" s="224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24"/>
      <c r="BN224" s="224"/>
      <c r="BO224" s="224"/>
      <c r="BP224" s="224"/>
      <c r="BQ224" s="224"/>
      <c r="BR224" s="224"/>
      <c r="BS224" s="224"/>
      <c r="BT224" s="224"/>
      <c r="BU224" s="224"/>
      <c r="BV224" s="224"/>
      <c r="BW224" s="224"/>
      <c r="BX224" s="224"/>
      <c r="BY224" s="224"/>
      <c r="BZ224" s="224"/>
      <c r="CA224" s="224"/>
      <c r="CB224" s="224"/>
      <c r="CC224" s="224"/>
      <c r="CD224" s="224"/>
      <c r="CE224" s="224"/>
      <c r="CF224" s="224"/>
      <c r="CG224" s="224"/>
      <c r="CH224" s="224"/>
    </row>
    <row r="225" spans="1:86" s="1" customFormat="1" ht="18" hidden="1" customHeight="1">
      <c r="A225" s="515"/>
      <c r="B225" s="167"/>
      <c r="C225" s="168"/>
      <c r="D225" s="169"/>
      <c r="E225" s="170"/>
      <c r="F225" s="171"/>
      <c r="G225" s="153"/>
      <c r="H225" s="154"/>
      <c r="I225" s="174"/>
      <c r="J225" s="154"/>
      <c r="K225" s="156"/>
      <c r="L225" s="153"/>
      <c r="M225" s="154"/>
      <c r="N225" s="174"/>
      <c r="O225" s="154"/>
      <c r="P225" s="156"/>
      <c r="Q225" s="153"/>
      <c r="R225" s="154"/>
      <c r="S225" s="155"/>
      <c r="T225" s="154"/>
      <c r="U225" s="156"/>
      <c r="V225" s="153"/>
      <c r="W225" s="154"/>
      <c r="X225" s="174"/>
      <c r="Y225" s="154"/>
      <c r="Z225" s="156"/>
      <c r="AA225" s="153"/>
      <c r="AB225" s="154"/>
      <c r="AC225" s="155"/>
      <c r="AD225" s="154"/>
      <c r="AE225" s="156"/>
      <c r="AF225" s="153"/>
      <c r="AG225" s="154"/>
      <c r="AH225" s="155"/>
      <c r="AI225" s="154"/>
      <c r="AJ225" s="156"/>
      <c r="AK225" s="91"/>
      <c r="AL225"/>
      <c r="AM225"/>
      <c r="AN225"/>
      <c r="AO225"/>
      <c r="AP225"/>
      <c r="AQ225"/>
      <c r="AR225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4"/>
      <c r="BN225" s="224"/>
      <c r="BO225" s="224"/>
      <c r="BP225" s="224"/>
      <c r="BQ225" s="224"/>
      <c r="BR225" s="224"/>
      <c r="BS225" s="224"/>
      <c r="BT225" s="224"/>
      <c r="BU225" s="224"/>
      <c r="BV225" s="224"/>
      <c r="BW225" s="224"/>
      <c r="BX225" s="224"/>
      <c r="BY225" s="224"/>
      <c r="BZ225" s="224"/>
      <c r="CA225" s="224"/>
      <c r="CB225" s="224"/>
      <c r="CC225" s="224"/>
      <c r="CD225" s="224"/>
      <c r="CE225" s="224"/>
      <c r="CF225" s="224"/>
      <c r="CG225" s="224"/>
      <c r="CH225" s="224"/>
    </row>
    <row r="226" spans="1:86" s="1" customFormat="1" ht="18" hidden="1" customHeight="1">
      <c r="A226" s="515"/>
      <c r="B226" s="167"/>
      <c r="C226" s="168"/>
      <c r="D226" s="169"/>
      <c r="E226" s="170"/>
      <c r="F226" s="171"/>
      <c r="G226" s="153"/>
      <c r="H226" s="154"/>
      <c r="I226" s="174"/>
      <c r="J226" s="154"/>
      <c r="K226" s="156"/>
      <c r="L226" s="153"/>
      <c r="M226" s="154"/>
      <c r="N226" s="174"/>
      <c r="O226" s="154"/>
      <c r="P226" s="156"/>
      <c r="Q226" s="153"/>
      <c r="R226" s="154"/>
      <c r="S226" s="155"/>
      <c r="T226" s="154"/>
      <c r="U226" s="156"/>
      <c r="V226" s="153"/>
      <c r="W226" s="154"/>
      <c r="X226" s="174"/>
      <c r="Y226" s="154"/>
      <c r="Z226" s="156"/>
      <c r="AA226" s="153"/>
      <c r="AB226" s="154"/>
      <c r="AC226" s="155"/>
      <c r="AD226" s="154"/>
      <c r="AE226" s="156"/>
      <c r="AF226" s="153"/>
      <c r="AG226" s="154"/>
      <c r="AH226" s="155"/>
      <c r="AI226" s="154"/>
      <c r="AJ226" s="156"/>
      <c r="AK226" s="91"/>
      <c r="AL226"/>
      <c r="AM226"/>
      <c r="AN226"/>
      <c r="AO226"/>
      <c r="AP226"/>
      <c r="AQ226"/>
      <c r="AR226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4"/>
      <c r="BN226" s="224"/>
      <c r="BO226" s="224"/>
      <c r="BP226" s="224"/>
      <c r="BQ226" s="224"/>
      <c r="BR226" s="224"/>
      <c r="BS226" s="224"/>
      <c r="BT226" s="224"/>
      <c r="BU226" s="224"/>
      <c r="BV226" s="224"/>
      <c r="BW226" s="224"/>
      <c r="BX226" s="224"/>
      <c r="BY226" s="224"/>
      <c r="BZ226" s="224"/>
      <c r="CA226" s="224"/>
      <c r="CB226" s="224"/>
      <c r="CC226" s="224"/>
      <c r="CD226" s="224"/>
      <c r="CE226" s="224"/>
      <c r="CF226" s="224"/>
      <c r="CG226" s="224"/>
      <c r="CH226" s="224"/>
    </row>
    <row r="227" spans="1:86" s="1" customFormat="1" ht="18" hidden="1" customHeight="1">
      <c r="A227" s="515"/>
      <c r="B227" s="167"/>
      <c r="C227" s="168"/>
      <c r="D227" s="169"/>
      <c r="E227" s="170"/>
      <c r="F227" s="171"/>
      <c r="G227" s="153"/>
      <c r="H227" s="154"/>
      <c r="I227" s="174"/>
      <c r="J227" s="154"/>
      <c r="K227" s="156"/>
      <c r="L227" s="153"/>
      <c r="M227" s="154"/>
      <c r="N227" s="174"/>
      <c r="O227" s="154"/>
      <c r="P227" s="156"/>
      <c r="Q227" s="153"/>
      <c r="R227" s="154"/>
      <c r="S227" s="155"/>
      <c r="T227" s="154"/>
      <c r="U227" s="156"/>
      <c r="V227" s="153"/>
      <c r="W227" s="154"/>
      <c r="X227" s="174"/>
      <c r="Y227" s="154"/>
      <c r="Z227" s="156"/>
      <c r="AA227" s="153"/>
      <c r="AB227" s="154"/>
      <c r="AC227" s="155"/>
      <c r="AD227" s="154"/>
      <c r="AE227" s="156"/>
      <c r="AF227" s="153"/>
      <c r="AG227" s="154"/>
      <c r="AH227" s="155"/>
      <c r="AI227" s="154"/>
      <c r="AJ227" s="156"/>
      <c r="AK227" s="91"/>
      <c r="AL227"/>
      <c r="AM227"/>
      <c r="AN227"/>
      <c r="AO227"/>
      <c r="AP227"/>
      <c r="AQ227"/>
      <c r="AR227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4"/>
      <c r="BN227" s="224"/>
      <c r="BO227" s="224"/>
      <c r="BP227" s="224"/>
      <c r="BQ227" s="224"/>
      <c r="BR227" s="224"/>
      <c r="BS227" s="224"/>
      <c r="BT227" s="224"/>
      <c r="BU227" s="224"/>
      <c r="BV227" s="224"/>
      <c r="BW227" s="224"/>
      <c r="BX227" s="224"/>
      <c r="BY227" s="224"/>
      <c r="BZ227" s="224"/>
      <c r="CA227" s="224"/>
      <c r="CB227" s="224"/>
      <c r="CC227" s="224"/>
      <c r="CD227" s="224"/>
      <c r="CE227" s="224"/>
      <c r="CF227" s="224"/>
      <c r="CG227" s="224"/>
      <c r="CH227" s="224"/>
    </row>
    <row r="228" spans="1:86" s="1" customFormat="1" ht="18" hidden="1" customHeight="1">
      <c r="A228" s="515"/>
      <c r="B228" s="167"/>
      <c r="C228" s="168"/>
      <c r="D228" s="169"/>
      <c r="E228" s="170"/>
      <c r="F228" s="171"/>
      <c r="G228" s="153"/>
      <c r="H228" s="154"/>
      <c r="I228" s="174"/>
      <c r="J228" s="154"/>
      <c r="K228" s="156"/>
      <c r="L228" s="153"/>
      <c r="M228" s="154"/>
      <c r="N228" s="174"/>
      <c r="O228" s="154"/>
      <c r="P228" s="156"/>
      <c r="Q228" s="153"/>
      <c r="R228" s="154"/>
      <c r="S228" s="155"/>
      <c r="T228" s="154"/>
      <c r="U228" s="156"/>
      <c r="V228" s="153"/>
      <c r="W228" s="154"/>
      <c r="X228" s="174"/>
      <c r="Y228" s="154"/>
      <c r="Z228" s="156"/>
      <c r="AA228" s="153"/>
      <c r="AB228" s="154"/>
      <c r="AC228" s="155"/>
      <c r="AD228" s="154"/>
      <c r="AE228" s="156"/>
      <c r="AF228" s="153"/>
      <c r="AG228" s="154"/>
      <c r="AH228" s="155"/>
      <c r="AI228" s="154"/>
      <c r="AJ228" s="156"/>
      <c r="AK228" s="91"/>
      <c r="AL228"/>
      <c r="AM228"/>
      <c r="AN228"/>
      <c r="AO228"/>
      <c r="AP228"/>
      <c r="AQ228"/>
      <c r="AR228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4"/>
      <c r="BN228" s="224"/>
      <c r="BO228" s="224"/>
      <c r="BP228" s="224"/>
      <c r="BQ228" s="224"/>
      <c r="BR228" s="224"/>
      <c r="BS228" s="224"/>
      <c r="BT228" s="224"/>
      <c r="BU228" s="224"/>
      <c r="BV228" s="224"/>
      <c r="BW228" s="224"/>
      <c r="BX228" s="224"/>
      <c r="BY228" s="224"/>
      <c r="BZ228" s="224"/>
      <c r="CA228" s="224"/>
      <c r="CB228" s="224"/>
      <c r="CC228" s="224"/>
      <c r="CD228" s="224"/>
      <c r="CE228" s="224"/>
      <c r="CF228" s="224"/>
      <c r="CG228" s="224"/>
      <c r="CH228" s="224"/>
    </row>
    <row r="229" spans="1:86" s="1" customFormat="1" ht="18" hidden="1" customHeight="1">
      <c r="A229" s="515"/>
      <c r="B229" s="167"/>
      <c r="C229" s="168"/>
      <c r="D229" s="169"/>
      <c r="E229" s="170"/>
      <c r="F229" s="171"/>
      <c r="G229" s="153"/>
      <c r="H229" s="154"/>
      <c r="I229" s="174"/>
      <c r="J229" s="154"/>
      <c r="K229" s="156"/>
      <c r="L229" s="153"/>
      <c r="M229" s="154"/>
      <c r="N229" s="174"/>
      <c r="O229" s="154"/>
      <c r="P229" s="156"/>
      <c r="Q229" s="153"/>
      <c r="R229" s="154"/>
      <c r="S229" s="155"/>
      <c r="T229" s="154"/>
      <c r="U229" s="156"/>
      <c r="V229" s="153"/>
      <c r="W229" s="154"/>
      <c r="X229" s="174"/>
      <c r="Y229" s="154"/>
      <c r="Z229" s="156"/>
      <c r="AA229" s="153"/>
      <c r="AB229" s="154"/>
      <c r="AC229" s="155"/>
      <c r="AD229" s="154"/>
      <c r="AE229" s="156"/>
      <c r="AF229" s="153"/>
      <c r="AG229" s="154"/>
      <c r="AH229" s="155"/>
      <c r="AI229" s="154"/>
      <c r="AJ229" s="156"/>
      <c r="AK229" s="91"/>
      <c r="AL229"/>
      <c r="AM229"/>
      <c r="AN229"/>
      <c r="AO229"/>
      <c r="AP229"/>
      <c r="AQ229"/>
      <c r="AR229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4"/>
      <c r="BN229" s="224"/>
      <c r="BO229" s="224"/>
      <c r="BP229" s="224"/>
      <c r="BQ229" s="224"/>
      <c r="BR229" s="224"/>
      <c r="BS229" s="224"/>
      <c r="BT229" s="224"/>
      <c r="BU229" s="224"/>
      <c r="BV229" s="224"/>
      <c r="BW229" s="224"/>
      <c r="BX229" s="224"/>
      <c r="BY229" s="224"/>
      <c r="BZ229" s="224"/>
      <c r="CA229" s="224"/>
      <c r="CB229" s="224"/>
      <c r="CC229" s="224"/>
      <c r="CD229" s="224"/>
      <c r="CE229" s="224"/>
      <c r="CF229" s="224"/>
      <c r="CG229" s="224"/>
      <c r="CH229" s="224"/>
    </row>
    <row r="230" spans="1:86" s="1" customFormat="1" ht="18" hidden="1" customHeight="1">
      <c r="A230" s="515"/>
      <c r="B230" s="167"/>
      <c r="C230" s="168"/>
      <c r="D230" s="169"/>
      <c r="E230" s="170"/>
      <c r="F230" s="171"/>
      <c r="G230" s="153"/>
      <c r="H230" s="154"/>
      <c r="I230" s="174"/>
      <c r="J230" s="154"/>
      <c r="K230" s="156"/>
      <c r="L230" s="153"/>
      <c r="M230" s="154"/>
      <c r="N230" s="174"/>
      <c r="O230" s="154"/>
      <c r="P230" s="156"/>
      <c r="Q230" s="153"/>
      <c r="R230" s="154"/>
      <c r="S230" s="155"/>
      <c r="T230" s="154"/>
      <c r="U230" s="156"/>
      <c r="V230" s="153"/>
      <c r="W230" s="154"/>
      <c r="X230" s="174"/>
      <c r="Y230" s="154"/>
      <c r="Z230" s="156"/>
      <c r="AA230" s="153"/>
      <c r="AB230" s="154"/>
      <c r="AC230" s="155"/>
      <c r="AD230" s="154"/>
      <c r="AE230" s="156"/>
      <c r="AF230" s="153"/>
      <c r="AG230" s="154"/>
      <c r="AH230" s="155"/>
      <c r="AI230" s="154"/>
      <c r="AJ230" s="156"/>
      <c r="AK230" s="91"/>
      <c r="AL230"/>
      <c r="AM230"/>
      <c r="AN230"/>
      <c r="AO230"/>
      <c r="AP230"/>
      <c r="AQ230"/>
      <c r="AR230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4"/>
      <c r="BN230" s="224"/>
      <c r="BO230" s="224"/>
      <c r="BP230" s="224"/>
      <c r="BQ230" s="224"/>
      <c r="BR230" s="224"/>
      <c r="BS230" s="224"/>
      <c r="BT230" s="224"/>
      <c r="BU230" s="224"/>
      <c r="BV230" s="224"/>
      <c r="BW230" s="224"/>
      <c r="BX230" s="224"/>
      <c r="BY230" s="224"/>
      <c r="BZ230" s="224"/>
      <c r="CA230" s="224"/>
      <c r="CB230" s="224"/>
      <c r="CC230" s="224"/>
      <c r="CD230" s="224"/>
      <c r="CE230" s="224"/>
      <c r="CF230" s="224"/>
      <c r="CG230" s="224"/>
      <c r="CH230" s="224"/>
    </row>
    <row r="231" spans="1:86" s="1" customFormat="1" ht="18" hidden="1" customHeight="1">
      <c r="A231" s="515"/>
      <c r="B231" s="167"/>
      <c r="C231" s="168"/>
      <c r="D231" s="169"/>
      <c r="E231" s="170"/>
      <c r="F231" s="171"/>
      <c r="G231" s="153"/>
      <c r="H231" s="154"/>
      <c r="I231" s="174"/>
      <c r="J231" s="154"/>
      <c r="K231" s="156"/>
      <c r="L231" s="153"/>
      <c r="M231" s="154"/>
      <c r="N231" s="174"/>
      <c r="O231" s="154"/>
      <c r="P231" s="156"/>
      <c r="Q231" s="153"/>
      <c r="R231" s="154"/>
      <c r="S231" s="155"/>
      <c r="T231" s="154"/>
      <c r="U231" s="156"/>
      <c r="V231" s="153"/>
      <c r="W231" s="154"/>
      <c r="X231" s="174"/>
      <c r="Y231" s="154"/>
      <c r="Z231" s="156"/>
      <c r="AA231" s="153"/>
      <c r="AB231" s="154"/>
      <c r="AC231" s="155"/>
      <c r="AD231" s="154"/>
      <c r="AE231" s="156"/>
      <c r="AF231" s="153"/>
      <c r="AG231" s="154"/>
      <c r="AH231" s="155"/>
      <c r="AI231" s="154"/>
      <c r="AJ231" s="156"/>
      <c r="AK231" s="91"/>
      <c r="AL231"/>
      <c r="AM231"/>
      <c r="AN231"/>
      <c r="AO231"/>
      <c r="AP231"/>
      <c r="AQ231"/>
      <c r="AR231"/>
      <c r="AS231" s="224"/>
      <c r="AT231" s="224"/>
      <c r="AU231" s="224"/>
      <c r="AV231" s="224"/>
      <c r="AW231" s="224"/>
      <c r="AX231" s="224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4"/>
      <c r="BN231" s="224"/>
      <c r="BO231" s="224"/>
      <c r="BP231" s="224"/>
      <c r="BQ231" s="224"/>
      <c r="BR231" s="224"/>
      <c r="BS231" s="224"/>
      <c r="BT231" s="224"/>
      <c r="BU231" s="224"/>
      <c r="BV231" s="224"/>
      <c r="BW231" s="224"/>
      <c r="BX231" s="224"/>
      <c r="BY231" s="224"/>
      <c r="BZ231" s="224"/>
      <c r="CA231" s="224"/>
      <c r="CB231" s="224"/>
      <c r="CC231" s="224"/>
      <c r="CD231" s="224"/>
      <c r="CE231" s="224"/>
      <c r="CF231" s="224"/>
      <c r="CG231" s="224"/>
      <c r="CH231" s="224"/>
    </row>
    <row r="232" spans="1:86" s="1" customFormat="1" ht="18" hidden="1" customHeight="1">
      <c r="A232" s="515"/>
      <c r="B232" s="167"/>
      <c r="C232" s="168"/>
      <c r="D232" s="169"/>
      <c r="E232" s="170"/>
      <c r="F232" s="171"/>
      <c r="G232" s="153"/>
      <c r="H232" s="154"/>
      <c r="I232" s="174"/>
      <c r="J232" s="154"/>
      <c r="K232" s="156"/>
      <c r="L232" s="153"/>
      <c r="M232" s="154"/>
      <c r="N232" s="174"/>
      <c r="O232" s="154"/>
      <c r="P232" s="156"/>
      <c r="Q232" s="153"/>
      <c r="R232" s="154"/>
      <c r="S232" s="155"/>
      <c r="T232" s="154"/>
      <c r="U232" s="156"/>
      <c r="V232" s="153"/>
      <c r="W232" s="154"/>
      <c r="X232" s="174"/>
      <c r="Y232" s="154"/>
      <c r="Z232" s="156"/>
      <c r="AA232" s="153"/>
      <c r="AB232" s="154"/>
      <c r="AC232" s="155"/>
      <c r="AD232" s="154"/>
      <c r="AE232" s="156"/>
      <c r="AF232" s="153"/>
      <c r="AG232" s="154"/>
      <c r="AH232" s="155"/>
      <c r="AI232" s="154"/>
      <c r="AJ232" s="156"/>
      <c r="AK232" s="91"/>
      <c r="AL232"/>
      <c r="AM232"/>
      <c r="AN232"/>
      <c r="AO232"/>
      <c r="AP232"/>
      <c r="AQ232"/>
      <c r="AR232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224"/>
      <c r="BN232" s="224"/>
      <c r="BO232" s="224"/>
      <c r="BP232" s="224"/>
      <c r="BQ232" s="224"/>
      <c r="BR232" s="224"/>
      <c r="BS232" s="224"/>
      <c r="BT232" s="224"/>
      <c r="BU232" s="224"/>
      <c r="BV232" s="224"/>
      <c r="BW232" s="224"/>
      <c r="BX232" s="224"/>
      <c r="BY232" s="224"/>
      <c r="BZ232" s="224"/>
      <c r="CA232" s="224"/>
      <c r="CB232" s="224"/>
      <c r="CC232" s="224"/>
      <c r="CD232" s="224"/>
      <c r="CE232" s="224"/>
      <c r="CF232" s="224"/>
      <c r="CG232" s="224"/>
      <c r="CH232" s="224"/>
    </row>
    <row r="233" spans="1:86" s="1" customFormat="1" ht="18" hidden="1" customHeight="1">
      <c r="A233" s="515"/>
      <c r="B233" s="175"/>
      <c r="C233" s="176"/>
      <c r="D233" s="177"/>
      <c r="E233" s="177"/>
      <c r="F233" s="178"/>
      <c r="G233" s="179"/>
      <c r="H233" s="180"/>
      <c r="I233" s="181"/>
      <c r="J233" s="180"/>
      <c r="K233" s="182"/>
      <c r="L233" s="179"/>
      <c r="M233" s="180"/>
      <c r="N233" s="181"/>
      <c r="O233" s="180"/>
      <c r="P233" s="182"/>
      <c r="Q233" s="179"/>
      <c r="R233" s="180"/>
      <c r="S233" s="180"/>
      <c r="T233" s="180"/>
      <c r="U233" s="182"/>
      <c r="V233" s="179"/>
      <c r="W233" s="180"/>
      <c r="X233" s="181"/>
      <c r="Y233" s="180"/>
      <c r="Z233" s="182"/>
      <c r="AA233" s="179"/>
      <c r="AB233" s="180"/>
      <c r="AC233" s="180"/>
      <c r="AD233" s="180"/>
      <c r="AE233" s="182"/>
      <c r="AF233" s="179"/>
      <c r="AG233" s="180"/>
      <c r="AH233" s="180"/>
      <c r="AI233" s="180"/>
      <c r="AJ233" s="182"/>
      <c r="AK233" s="91"/>
      <c r="AL233"/>
      <c r="AM233"/>
      <c r="AN233"/>
      <c r="AO233"/>
      <c r="AP233"/>
      <c r="AQ233"/>
      <c r="AR233"/>
      <c r="AS233" s="224"/>
      <c r="AT233" s="224"/>
      <c r="AU233" s="224"/>
      <c r="AV233" s="224"/>
      <c r="AW233" s="224"/>
      <c r="AX233" s="224"/>
      <c r="AY233" s="224"/>
      <c r="AZ233" s="224"/>
      <c r="BA233" s="224"/>
      <c r="BB233" s="224"/>
      <c r="BC233" s="224"/>
      <c r="BD233" s="224"/>
      <c r="BE233" s="224"/>
      <c r="BF233" s="224"/>
      <c r="BG233" s="224"/>
      <c r="BH233" s="224"/>
      <c r="BI233" s="224"/>
      <c r="BJ233" s="224"/>
      <c r="BK233" s="224"/>
      <c r="BL233" s="224"/>
      <c r="BM233" s="224"/>
      <c r="BN233" s="224"/>
      <c r="BO233" s="224"/>
      <c r="BP233" s="224"/>
      <c r="BQ233" s="224"/>
      <c r="BR233" s="224"/>
      <c r="BS233" s="224"/>
      <c r="BT233" s="224"/>
      <c r="BU233" s="224"/>
      <c r="BV233" s="224"/>
      <c r="BW233" s="224"/>
      <c r="BX233" s="224"/>
      <c r="BY233" s="224"/>
      <c r="BZ233" s="224"/>
      <c r="CA233" s="224"/>
      <c r="CB233" s="224"/>
      <c r="CC233" s="224"/>
      <c r="CD233" s="224"/>
      <c r="CE233" s="224"/>
      <c r="CF233" s="224"/>
      <c r="CG233" s="224"/>
      <c r="CH233" s="224"/>
    </row>
    <row r="234" spans="1:86" s="1" customFormat="1" ht="18" hidden="1" customHeight="1">
      <c r="A234" s="516"/>
      <c r="B234" s="517" t="s">
        <v>9</v>
      </c>
      <c r="C234" s="518"/>
      <c r="D234" s="519"/>
      <c r="E234" s="518"/>
      <c r="F234" s="32" t="s">
        <v>10</v>
      </c>
      <c r="G234" s="520"/>
      <c r="H234" s="521"/>
      <c r="I234" s="522"/>
      <c r="J234" s="521"/>
      <c r="K234" s="183"/>
      <c r="L234" s="520"/>
      <c r="M234" s="521"/>
      <c r="N234" s="522"/>
      <c r="O234" s="521"/>
      <c r="P234" s="183"/>
      <c r="Q234" s="520"/>
      <c r="R234" s="521"/>
      <c r="S234" s="522"/>
      <c r="T234" s="521"/>
      <c r="U234" s="183"/>
      <c r="V234" s="520"/>
      <c r="W234" s="521"/>
      <c r="X234" s="522"/>
      <c r="Y234" s="521"/>
      <c r="Z234" s="183"/>
      <c r="AA234" s="520"/>
      <c r="AB234" s="521"/>
      <c r="AC234" s="522"/>
      <c r="AD234" s="521"/>
      <c r="AE234" s="183"/>
      <c r="AF234" s="520"/>
      <c r="AG234" s="521"/>
      <c r="AH234" s="522"/>
      <c r="AI234" s="521"/>
      <c r="AJ234" s="183"/>
      <c r="AK234" s="91"/>
      <c r="AL234"/>
      <c r="AM234"/>
      <c r="AN234"/>
      <c r="AO234"/>
      <c r="AP234"/>
      <c r="AQ234"/>
      <c r="AR234"/>
      <c r="AS234" s="224"/>
      <c r="AT234" s="224"/>
      <c r="AU234" s="224"/>
      <c r="AV234" s="224"/>
      <c r="AW234" s="224"/>
      <c r="AX234" s="224"/>
      <c r="AY234" s="224"/>
      <c r="AZ234" s="224"/>
      <c r="BA234" s="224"/>
      <c r="BB234" s="224"/>
      <c r="BC234" s="224"/>
      <c r="BD234" s="224"/>
      <c r="BE234" s="224"/>
      <c r="BF234" s="224"/>
      <c r="BG234" s="224"/>
      <c r="BH234" s="224"/>
      <c r="BI234" s="224"/>
      <c r="BJ234" s="224"/>
      <c r="BK234" s="224"/>
      <c r="BL234" s="224"/>
      <c r="BM234" s="224"/>
      <c r="BN234" s="224"/>
      <c r="BO234" s="224"/>
      <c r="BP234" s="224"/>
      <c r="BQ234" s="224"/>
      <c r="BR234" s="224"/>
      <c r="BS234" s="224"/>
      <c r="BT234" s="224"/>
      <c r="BU234" s="224"/>
      <c r="BV234" s="224"/>
      <c r="BW234" s="224"/>
      <c r="BX234" s="224"/>
      <c r="BY234" s="224"/>
      <c r="BZ234" s="224"/>
      <c r="CA234" s="224"/>
      <c r="CB234" s="224"/>
      <c r="CC234" s="224"/>
      <c r="CD234" s="224"/>
      <c r="CE234" s="224"/>
      <c r="CF234" s="224"/>
      <c r="CG234" s="224"/>
      <c r="CH234" s="224"/>
    </row>
    <row r="235" spans="1:86" s="1" customFormat="1" ht="18" hidden="1" customHeight="1">
      <c r="A235" s="514" t="s">
        <v>60</v>
      </c>
      <c r="B235" s="159"/>
      <c r="C235" s="160"/>
      <c r="D235" s="161"/>
      <c r="E235" s="162"/>
      <c r="F235" s="163"/>
      <c r="G235" s="148"/>
      <c r="H235" s="149"/>
      <c r="I235" s="218"/>
      <c r="J235" s="149"/>
      <c r="K235" s="166"/>
      <c r="L235" s="148"/>
      <c r="M235" s="149"/>
      <c r="N235" s="218"/>
      <c r="O235" s="149"/>
      <c r="P235" s="166"/>
      <c r="Q235" s="148"/>
      <c r="R235" s="149"/>
      <c r="S235" s="150"/>
      <c r="T235" s="149"/>
      <c r="U235" s="166"/>
      <c r="V235" s="148"/>
      <c r="W235" s="149"/>
      <c r="X235" s="218"/>
      <c r="Y235" s="149"/>
      <c r="Z235" s="166"/>
      <c r="AA235" s="148"/>
      <c r="AB235" s="149"/>
      <c r="AC235" s="150"/>
      <c r="AD235" s="149"/>
      <c r="AE235" s="166"/>
      <c r="AF235" s="148"/>
      <c r="AG235" s="149"/>
      <c r="AH235" s="150"/>
      <c r="AI235" s="149"/>
      <c r="AJ235" s="166"/>
      <c r="AK235" s="91"/>
      <c r="AL235"/>
      <c r="AM235"/>
      <c r="AN235"/>
      <c r="AO235"/>
      <c r="AP235"/>
      <c r="AQ235"/>
      <c r="AR235"/>
      <c r="AS235" s="224"/>
      <c r="AT235" s="224"/>
      <c r="AU235" s="224"/>
      <c r="AV235" s="224"/>
      <c r="AW235" s="224"/>
      <c r="AX235" s="224"/>
      <c r="AY235" s="224"/>
      <c r="AZ235" s="224"/>
      <c r="BA235" s="224"/>
      <c r="BB235" s="224"/>
      <c r="BC235" s="224"/>
      <c r="BD235" s="224"/>
      <c r="BE235" s="224"/>
      <c r="BF235" s="224"/>
      <c r="BG235" s="224"/>
      <c r="BH235" s="224"/>
      <c r="BI235" s="224"/>
      <c r="BJ235" s="224"/>
      <c r="BK235" s="224"/>
      <c r="BL235" s="224"/>
      <c r="BM235" s="224"/>
      <c r="BN235" s="224"/>
      <c r="BO235" s="224"/>
      <c r="BP235" s="224"/>
      <c r="BQ235" s="224"/>
      <c r="BR235" s="224"/>
      <c r="BS235" s="224"/>
      <c r="BT235" s="224"/>
      <c r="BU235" s="224"/>
      <c r="BV235" s="224"/>
      <c r="BW235" s="224"/>
      <c r="BX235" s="224"/>
      <c r="BY235" s="224"/>
      <c r="BZ235" s="224"/>
      <c r="CA235" s="224"/>
      <c r="CB235" s="224"/>
      <c r="CC235" s="224"/>
      <c r="CD235" s="224"/>
      <c r="CE235" s="224"/>
      <c r="CF235" s="224"/>
      <c r="CG235" s="224"/>
      <c r="CH235" s="224"/>
    </row>
    <row r="236" spans="1:86" s="1" customFormat="1" ht="18" hidden="1" customHeight="1">
      <c r="A236" s="515"/>
      <c r="B236" s="167"/>
      <c r="C236" s="168"/>
      <c r="D236" s="169"/>
      <c r="E236" s="170"/>
      <c r="F236" s="171"/>
      <c r="G236" s="153"/>
      <c r="H236" s="154"/>
      <c r="I236" s="174"/>
      <c r="J236" s="154"/>
      <c r="K236" s="156"/>
      <c r="L236" s="153"/>
      <c r="M236" s="154"/>
      <c r="N236" s="174"/>
      <c r="O236" s="154"/>
      <c r="P236" s="156"/>
      <c r="Q236" s="153"/>
      <c r="R236" s="154"/>
      <c r="S236" s="155"/>
      <c r="T236" s="154"/>
      <c r="U236" s="156"/>
      <c r="V236" s="153"/>
      <c r="W236" s="154"/>
      <c r="X236" s="174"/>
      <c r="Y236" s="154"/>
      <c r="Z236" s="156"/>
      <c r="AA236" s="153"/>
      <c r="AB236" s="154"/>
      <c r="AC236" s="155"/>
      <c r="AD236" s="154"/>
      <c r="AE236" s="156"/>
      <c r="AF236" s="153"/>
      <c r="AG236" s="154"/>
      <c r="AH236" s="155"/>
      <c r="AI236" s="154"/>
      <c r="AJ236" s="156"/>
      <c r="AK236" s="91"/>
      <c r="AL236"/>
      <c r="AM236"/>
      <c r="AN236"/>
      <c r="AO236"/>
      <c r="AP236"/>
      <c r="AQ236"/>
      <c r="AR236"/>
      <c r="AS236" s="224"/>
      <c r="AT236" s="224"/>
      <c r="AU236" s="224"/>
      <c r="AV236" s="224"/>
      <c r="AW236" s="224"/>
      <c r="AX236" s="224"/>
      <c r="AY236" s="224"/>
      <c r="AZ236" s="224"/>
      <c r="BA236" s="224"/>
      <c r="BB236" s="224"/>
      <c r="BC236" s="224"/>
      <c r="BD236" s="224"/>
      <c r="BE236" s="224"/>
      <c r="BF236" s="224"/>
      <c r="BG236" s="224"/>
      <c r="BH236" s="224"/>
      <c r="BI236" s="224"/>
      <c r="BJ236" s="224"/>
      <c r="BK236" s="224"/>
      <c r="BL236" s="224"/>
      <c r="BM236" s="224"/>
      <c r="BN236" s="224"/>
      <c r="BO236" s="224"/>
      <c r="BP236" s="224"/>
      <c r="BQ236" s="224"/>
      <c r="BR236" s="224"/>
      <c r="BS236" s="224"/>
      <c r="BT236" s="224"/>
      <c r="BU236" s="224"/>
      <c r="BV236" s="224"/>
      <c r="BW236" s="224"/>
      <c r="BX236" s="224"/>
      <c r="BY236" s="224"/>
      <c r="BZ236" s="224"/>
      <c r="CA236" s="224"/>
      <c r="CB236" s="224"/>
      <c r="CC236" s="224"/>
      <c r="CD236" s="224"/>
      <c r="CE236" s="224"/>
      <c r="CF236" s="224"/>
      <c r="CG236" s="224"/>
      <c r="CH236" s="224"/>
    </row>
    <row r="237" spans="1:86" s="1" customFormat="1" ht="18" hidden="1" customHeight="1">
      <c r="A237" s="515"/>
      <c r="B237" s="167"/>
      <c r="C237" s="168"/>
      <c r="D237" s="169"/>
      <c r="E237" s="170"/>
      <c r="F237" s="171"/>
      <c r="G237" s="153"/>
      <c r="H237" s="154"/>
      <c r="I237" s="174"/>
      <c r="J237" s="154"/>
      <c r="K237" s="156"/>
      <c r="L237" s="153"/>
      <c r="M237" s="154"/>
      <c r="N237" s="174"/>
      <c r="O237" s="154"/>
      <c r="P237" s="156"/>
      <c r="Q237" s="153"/>
      <c r="R237" s="154"/>
      <c r="S237" s="155"/>
      <c r="T237" s="154"/>
      <c r="U237" s="156"/>
      <c r="V237" s="153"/>
      <c r="W237" s="154"/>
      <c r="X237" s="174"/>
      <c r="Y237" s="154"/>
      <c r="Z237" s="156"/>
      <c r="AA237" s="153"/>
      <c r="AB237" s="154"/>
      <c r="AC237" s="155"/>
      <c r="AD237" s="154"/>
      <c r="AE237" s="156"/>
      <c r="AF237" s="153"/>
      <c r="AG237" s="154"/>
      <c r="AH237" s="155"/>
      <c r="AI237" s="154"/>
      <c r="AJ237" s="156"/>
      <c r="AK237" s="91"/>
      <c r="AL237"/>
      <c r="AM237"/>
      <c r="AN237"/>
      <c r="AO237"/>
      <c r="AP237"/>
      <c r="AQ237"/>
      <c r="AR237"/>
      <c r="AS237" s="224"/>
      <c r="AT237" s="224"/>
      <c r="AU237" s="224"/>
      <c r="AV237" s="224"/>
      <c r="AW237" s="224"/>
      <c r="AX237" s="224"/>
      <c r="AY237" s="224"/>
      <c r="AZ237" s="224"/>
      <c r="BA237" s="224"/>
      <c r="BB237" s="224"/>
      <c r="BC237" s="224"/>
      <c r="BD237" s="224"/>
      <c r="BE237" s="224"/>
      <c r="BF237" s="224"/>
      <c r="BG237" s="224"/>
      <c r="BH237" s="224"/>
      <c r="BI237" s="224"/>
      <c r="BJ237" s="224"/>
      <c r="BK237" s="224"/>
      <c r="BL237" s="224"/>
      <c r="BM237" s="224"/>
      <c r="BN237" s="224"/>
      <c r="BO237" s="224"/>
      <c r="BP237" s="224"/>
      <c r="BQ237" s="224"/>
      <c r="BR237" s="224"/>
      <c r="BS237" s="224"/>
      <c r="BT237" s="224"/>
      <c r="BU237" s="224"/>
      <c r="BV237" s="224"/>
      <c r="BW237" s="224"/>
      <c r="BX237" s="224"/>
      <c r="BY237" s="224"/>
      <c r="BZ237" s="224"/>
      <c r="CA237" s="224"/>
      <c r="CB237" s="224"/>
      <c r="CC237" s="224"/>
      <c r="CD237" s="224"/>
      <c r="CE237" s="224"/>
      <c r="CF237" s="224"/>
      <c r="CG237" s="224"/>
      <c r="CH237" s="224"/>
    </row>
    <row r="238" spans="1:86" s="1" customFormat="1" ht="18" hidden="1" customHeight="1">
      <c r="A238" s="515"/>
      <c r="B238" s="167"/>
      <c r="C238" s="168"/>
      <c r="D238" s="169"/>
      <c r="E238" s="170"/>
      <c r="F238" s="171"/>
      <c r="G238" s="153"/>
      <c r="H238" s="154"/>
      <c r="I238" s="174"/>
      <c r="J238" s="154"/>
      <c r="K238" s="156"/>
      <c r="L238" s="153"/>
      <c r="M238" s="154"/>
      <c r="N238" s="174"/>
      <c r="O238" s="154"/>
      <c r="P238" s="156"/>
      <c r="Q238" s="153"/>
      <c r="R238" s="154"/>
      <c r="S238" s="155"/>
      <c r="T238" s="154"/>
      <c r="U238" s="156"/>
      <c r="V238" s="153"/>
      <c r="W238" s="154"/>
      <c r="X238" s="174"/>
      <c r="Y238" s="154"/>
      <c r="Z238" s="156"/>
      <c r="AA238" s="153"/>
      <c r="AB238" s="154"/>
      <c r="AC238" s="155"/>
      <c r="AD238" s="154"/>
      <c r="AE238" s="156"/>
      <c r="AF238" s="153"/>
      <c r="AG238" s="154"/>
      <c r="AH238" s="155"/>
      <c r="AI238" s="154"/>
      <c r="AJ238" s="156"/>
      <c r="AK238" s="91"/>
      <c r="AL238"/>
      <c r="AM238"/>
      <c r="AN238"/>
      <c r="AO238"/>
      <c r="AP238"/>
      <c r="AQ238"/>
      <c r="AR238"/>
      <c r="AS238" s="224"/>
      <c r="AT238" s="224"/>
      <c r="AU238" s="224"/>
      <c r="AV238" s="224"/>
      <c r="AW238" s="224"/>
      <c r="AX238" s="224"/>
      <c r="AY238" s="224"/>
      <c r="AZ238" s="224"/>
      <c r="BA238" s="224"/>
      <c r="BB238" s="224"/>
      <c r="BC238" s="224"/>
      <c r="BD238" s="224"/>
      <c r="BE238" s="224"/>
      <c r="BF238" s="224"/>
      <c r="BG238" s="224"/>
      <c r="BH238" s="224"/>
      <c r="BI238" s="224"/>
      <c r="BJ238" s="224"/>
      <c r="BK238" s="224"/>
      <c r="BL238" s="224"/>
      <c r="BM238" s="224"/>
      <c r="BN238" s="224"/>
      <c r="BO238" s="224"/>
      <c r="BP238" s="224"/>
      <c r="BQ238" s="224"/>
      <c r="BR238" s="224"/>
      <c r="BS238" s="224"/>
      <c r="BT238" s="224"/>
      <c r="BU238" s="224"/>
      <c r="BV238" s="224"/>
      <c r="BW238" s="224"/>
      <c r="BX238" s="224"/>
      <c r="BY238" s="224"/>
      <c r="BZ238" s="224"/>
      <c r="CA238" s="224"/>
      <c r="CB238" s="224"/>
      <c r="CC238" s="224"/>
      <c r="CD238" s="224"/>
      <c r="CE238" s="224"/>
      <c r="CF238" s="224"/>
      <c r="CG238" s="224"/>
      <c r="CH238" s="224"/>
    </row>
    <row r="239" spans="1:86" s="1" customFormat="1" ht="18" hidden="1" customHeight="1">
      <c r="A239" s="515"/>
      <c r="B239" s="167"/>
      <c r="C239" s="168"/>
      <c r="D239" s="169"/>
      <c r="E239" s="170"/>
      <c r="F239" s="171"/>
      <c r="G239" s="153"/>
      <c r="H239" s="154"/>
      <c r="I239" s="174"/>
      <c r="J239" s="154"/>
      <c r="K239" s="156"/>
      <c r="L239" s="153"/>
      <c r="M239" s="154"/>
      <c r="N239" s="174"/>
      <c r="O239" s="154"/>
      <c r="P239" s="156"/>
      <c r="Q239" s="153"/>
      <c r="R239" s="154"/>
      <c r="S239" s="155"/>
      <c r="T239" s="154"/>
      <c r="U239" s="156"/>
      <c r="V239" s="153"/>
      <c r="W239" s="154"/>
      <c r="X239" s="174"/>
      <c r="Y239" s="154"/>
      <c r="Z239" s="156"/>
      <c r="AA239" s="153"/>
      <c r="AB239" s="154"/>
      <c r="AC239" s="155"/>
      <c r="AD239" s="154"/>
      <c r="AE239" s="156"/>
      <c r="AF239" s="153"/>
      <c r="AG239" s="154"/>
      <c r="AH239" s="155"/>
      <c r="AI239" s="154"/>
      <c r="AJ239" s="156"/>
      <c r="AK239" s="91"/>
      <c r="AL239"/>
      <c r="AM239"/>
      <c r="AN239"/>
      <c r="AO239"/>
      <c r="AP239"/>
      <c r="AQ239"/>
      <c r="AR239"/>
      <c r="AS239" s="224"/>
      <c r="AT239" s="224"/>
      <c r="AU239" s="224"/>
      <c r="AV239" s="224"/>
      <c r="AW239" s="224"/>
      <c r="AX239" s="224"/>
      <c r="AY239" s="224"/>
      <c r="AZ239" s="224"/>
      <c r="BA239" s="224"/>
      <c r="BB239" s="224"/>
      <c r="BC239" s="224"/>
      <c r="BD239" s="224"/>
      <c r="BE239" s="224"/>
      <c r="BF239" s="224"/>
      <c r="BG239" s="224"/>
      <c r="BH239" s="224"/>
      <c r="BI239" s="224"/>
      <c r="BJ239" s="224"/>
      <c r="BK239" s="224"/>
      <c r="BL239" s="224"/>
      <c r="BM239" s="224"/>
      <c r="BN239" s="224"/>
      <c r="BO239" s="224"/>
      <c r="BP239" s="224"/>
      <c r="BQ239" s="224"/>
      <c r="BR239" s="224"/>
      <c r="BS239" s="224"/>
      <c r="BT239" s="224"/>
      <c r="BU239" s="224"/>
      <c r="BV239" s="224"/>
      <c r="BW239" s="224"/>
      <c r="BX239" s="224"/>
      <c r="BY239" s="224"/>
      <c r="BZ239" s="224"/>
      <c r="CA239" s="224"/>
      <c r="CB239" s="224"/>
      <c r="CC239" s="224"/>
      <c r="CD239" s="224"/>
      <c r="CE239" s="224"/>
      <c r="CF239" s="224"/>
      <c r="CG239" s="224"/>
      <c r="CH239" s="224"/>
    </row>
    <row r="240" spans="1:86" s="1" customFormat="1" ht="18" hidden="1" customHeight="1">
      <c r="A240" s="515"/>
      <c r="B240" s="167"/>
      <c r="C240" s="168"/>
      <c r="D240" s="169"/>
      <c r="E240" s="170"/>
      <c r="F240" s="171"/>
      <c r="G240" s="153"/>
      <c r="H240" s="154"/>
      <c r="I240" s="174"/>
      <c r="J240" s="154"/>
      <c r="K240" s="156"/>
      <c r="L240" s="153"/>
      <c r="M240" s="154"/>
      <c r="N240" s="174"/>
      <c r="O240" s="154"/>
      <c r="P240" s="156"/>
      <c r="Q240" s="153"/>
      <c r="R240" s="154"/>
      <c r="S240" s="155"/>
      <c r="T240" s="154"/>
      <c r="U240" s="156"/>
      <c r="V240" s="153"/>
      <c r="W240" s="154"/>
      <c r="X240" s="174"/>
      <c r="Y240" s="154"/>
      <c r="Z240" s="156"/>
      <c r="AA240" s="153"/>
      <c r="AB240" s="154"/>
      <c r="AC240" s="155"/>
      <c r="AD240" s="154"/>
      <c r="AE240" s="156"/>
      <c r="AF240" s="153"/>
      <c r="AG240" s="154"/>
      <c r="AH240" s="155"/>
      <c r="AI240" s="154"/>
      <c r="AJ240" s="156"/>
      <c r="AK240" s="91"/>
      <c r="AL240"/>
      <c r="AM240"/>
      <c r="AN240"/>
      <c r="AO240"/>
      <c r="AP240"/>
      <c r="AQ240"/>
      <c r="AR240"/>
      <c r="AS240" s="224"/>
      <c r="AT240" s="224"/>
      <c r="AU240" s="224"/>
      <c r="AV240" s="224"/>
      <c r="AW240" s="224"/>
      <c r="AX240" s="224"/>
      <c r="AY240" s="224"/>
      <c r="AZ240" s="224"/>
      <c r="BA240" s="224"/>
      <c r="BB240" s="224"/>
      <c r="BC240" s="224"/>
      <c r="BD240" s="224"/>
      <c r="BE240" s="224"/>
      <c r="BF240" s="224"/>
      <c r="BG240" s="224"/>
      <c r="BH240" s="224"/>
      <c r="BI240" s="224"/>
      <c r="BJ240" s="224"/>
      <c r="BK240" s="224"/>
      <c r="BL240" s="224"/>
      <c r="BM240" s="224"/>
      <c r="BN240" s="224"/>
      <c r="BO240" s="224"/>
      <c r="BP240" s="224"/>
      <c r="BQ240" s="224"/>
      <c r="BR240" s="224"/>
      <c r="BS240" s="224"/>
      <c r="BT240" s="224"/>
      <c r="BU240" s="224"/>
      <c r="BV240" s="224"/>
      <c r="BW240" s="224"/>
      <c r="BX240" s="224"/>
      <c r="BY240" s="224"/>
      <c r="BZ240" s="224"/>
      <c r="CA240" s="224"/>
      <c r="CB240" s="224"/>
      <c r="CC240" s="224"/>
      <c r="CD240" s="224"/>
      <c r="CE240" s="224"/>
      <c r="CF240" s="224"/>
      <c r="CG240" s="224"/>
      <c r="CH240" s="224"/>
    </row>
    <row r="241" spans="1:86" s="1" customFormat="1" ht="18" hidden="1" customHeight="1">
      <c r="A241" s="515"/>
      <c r="B241" s="167"/>
      <c r="C241" s="168"/>
      <c r="D241" s="169"/>
      <c r="E241" s="170"/>
      <c r="F241" s="171"/>
      <c r="G241" s="153"/>
      <c r="H241" s="154"/>
      <c r="I241" s="174"/>
      <c r="J241" s="154"/>
      <c r="K241" s="156"/>
      <c r="L241" s="153"/>
      <c r="M241" s="154"/>
      <c r="N241" s="174"/>
      <c r="O241" s="154"/>
      <c r="P241" s="156"/>
      <c r="Q241" s="153"/>
      <c r="R241" s="154"/>
      <c r="S241" s="155"/>
      <c r="T241" s="154"/>
      <c r="U241" s="156"/>
      <c r="V241" s="153"/>
      <c r="W241" s="154"/>
      <c r="X241" s="174"/>
      <c r="Y241" s="154"/>
      <c r="Z241" s="156"/>
      <c r="AA241" s="153"/>
      <c r="AB241" s="154"/>
      <c r="AC241" s="155"/>
      <c r="AD241" s="154"/>
      <c r="AE241" s="156"/>
      <c r="AF241" s="153"/>
      <c r="AG241" s="154"/>
      <c r="AH241" s="155"/>
      <c r="AI241" s="154"/>
      <c r="AJ241" s="156"/>
      <c r="AK241" s="91"/>
      <c r="AL241"/>
      <c r="AM241"/>
      <c r="AN241"/>
      <c r="AO241"/>
      <c r="AP241"/>
      <c r="AQ241"/>
      <c r="AR241"/>
      <c r="AS241" s="224"/>
      <c r="AT241" s="224"/>
      <c r="AU241" s="224"/>
      <c r="AV241" s="224"/>
      <c r="AW241" s="224"/>
      <c r="AX241" s="224"/>
      <c r="AY241" s="224"/>
      <c r="AZ241" s="224"/>
      <c r="BA241" s="224"/>
      <c r="BB241" s="224"/>
      <c r="BC241" s="224"/>
      <c r="BD241" s="224"/>
      <c r="BE241" s="224"/>
      <c r="BF241" s="224"/>
      <c r="BG241" s="224"/>
      <c r="BH241" s="224"/>
      <c r="BI241" s="224"/>
      <c r="BJ241" s="224"/>
      <c r="BK241" s="224"/>
      <c r="BL241" s="224"/>
      <c r="BM241" s="224"/>
      <c r="BN241" s="224"/>
      <c r="BO241" s="224"/>
      <c r="BP241" s="224"/>
      <c r="BQ241" s="224"/>
      <c r="BR241" s="224"/>
      <c r="BS241" s="224"/>
      <c r="BT241" s="224"/>
      <c r="BU241" s="224"/>
      <c r="BV241" s="224"/>
      <c r="BW241" s="224"/>
      <c r="BX241" s="224"/>
      <c r="BY241" s="224"/>
      <c r="BZ241" s="224"/>
      <c r="CA241" s="224"/>
      <c r="CB241" s="224"/>
      <c r="CC241" s="224"/>
      <c r="CD241" s="224"/>
      <c r="CE241" s="224"/>
      <c r="CF241" s="224"/>
      <c r="CG241" s="224"/>
      <c r="CH241" s="224"/>
    </row>
    <row r="242" spans="1:86" ht="18.75" hidden="1" customHeight="1">
      <c r="A242" s="515"/>
      <c r="B242" s="167"/>
      <c r="C242" s="168"/>
      <c r="D242" s="169"/>
      <c r="E242" s="170"/>
      <c r="F242" s="171"/>
      <c r="G242" s="153"/>
      <c r="H242" s="154"/>
      <c r="I242" s="174"/>
      <c r="J242" s="154"/>
      <c r="K242" s="156"/>
      <c r="L242" s="153"/>
      <c r="M242" s="154"/>
      <c r="N242" s="174"/>
      <c r="O242" s="154"/>
      <c r="P242" s="156"/>
      <c r="Q242" s="153"/>
      <c r="R242" s="154"/>
      <c r="S242" s="155"/>
      <c r="T242" s="154"/>
      <c r="U242" s="156"/>
      <c r="V242" s="153"/>
      <c r="W242" s="154"/>
      <c r="X242" s="174"/>
      <c r="Y242" s="154"/>
      <c r="Z242" s="156"/>
      <c r="AA242" s="153"/>
      <c r="AB242" s="154"/>
      <c r="AC242" s="155"/>
      <c r="AD242" s="154"/>
      <c r="AE242" s="156"/>
      <c r="AF242" s="153"/>
      <c r="AG242" s="154"/>
      <c r="AH242" s="155"/>
      <c r="AI242" s="154"/>
      <c r="AJ242" s="156"/>
      <c r="AK242" s="7"/>
    </row>
    <row r="243" spans="1:86" ht="18.75" hidden="1" customHeight="1">
      <c r="A243" s="515"/>
      <c r="B243" s="167"/>
      <c r="C243" s="168"/>
      <c r="D243" s="169"/>
      <c r="E243" s="170"/>
      <c r="F243" s="171"/>
      <c r="G243" s="153"/>
      <c r="H243" s="154"/>
      <c r="I243" s="174"/>
      <c r="J243" s="154"/>
      <c r="K243" s="156"/>
      <c r="L243" s="153"/>
      <c r="M243" s="154"/>
      <c r="N243" s="174"/>
      <c r="O243" s="154"/>
      <c r="P243" s="156"/>
      <c r="Q243" s="153"/>
      <c r="R243" s="154"/>
      <c r="S243" s="155"/>
      <c r="T243" s="154"/>
      <c r="U243" s="156"/>
      <c r="V243" s="153"/>
      <c r="W243" s="154"/>
      <c r="X243" s="174"/>
      <c r="Y243" s="154"/>
      <c r="Z243" s="156"/>
      <c r="AA243" s="153"/>
      <c r="AB243" s="154"/>
      <c r="AC243" s="155"/>
      <c r="AD243" s="154"/>
      <c r="AE243" s="156"/>
      <c r="AF243" s="153"/>
      <c r="AG243" s="154"/>
      <c r="AH243" s="155"/>
      <c r="AI243" s="154"/>
      <c r="AJ243" s="156"/>
      <c r="AK243" s="7"/>
    </row>
    <row r="244" spans="1:86" ht="18.75" hidden="1" customHeight="1">
      <c r="A244" s="515"/>
      <c r="B244" s="167"/>
      <c r="C244" s="168"/>
      <c r="D244" s="169"/>
      <c r="E244" s="170"/>
      <c r="F244" s="171"/>
      <c r="G244" s="153"/>
      <c r="H244" s="154"/>
      <c r="I244" s="174"/>
      <c r="J244" s="154"/>
      <c r="K244" s="156"/>
      <c r="L244" s="153"/>
      <c r="M244" s="154"/>
      <c r="N244" s="174"/>
      <c r="O244" s="154"/>
      <c r="P244" s="156"/>
      <c r="Q244" s="153"/>
      <c r="R244" s="154"/>
      <c r="S244" s="155"/>
      <c r="T244" s="154"/>
      <c r="U244" s="156"/>
      <c r="V244" s="153"/>
      <c r="W244" s="154"/>
      <c r="X244" s="174"/>
      <c r="Y244" s="154"/>
      <c r="Z244" s="156"/>
      <c r="AA244" s="153"/>
      <c r="AB244" s="154"/>
      <c r="AC244" s="155"/>
      <c r="AD244" s="154"/>
      <c r="AE244" s="156"/>
      <c r="AF244" s="153"/>
      <c r="AG244" s="154"/>
      <c r="AH244" s="155"/>
      <c r="AI244" s="154"/>
      <c r="AJ244" s="156"/>
      <c r="AK244" s="7"/>
    </row>
    <row r="245" spans="1:86" ht="18.75" hidden="1" customHeight="1">
      <c r="A245" s="515"/>
      <c r="B245" s="167"/>
      <c r="C245" s="168"/>
      <c r="D245" s="169"/>
      <c r="E245" s="170"/>
      <c r="F245" s="171"/>
      <c r="G245" s="153"/>
      <c r="H245" s="154"/>
      <c r="I245" s="174"/>
      <c r="J245" s="154"/>
      <c r="K245" s="156"/>
      <c r="L245" s="153"/>
      <c r="M245" s="154"/>
      <c r="N245" s="174"/>
      <c r="O245" s="154"/>
      <c r="P245" s="156"/>
      <c r="Q245" s="153"/>
      <c r="R245" s="154"/>
      <c r="S245" s="155"/>
      <c r="T245" s="154"/>
      <c r="U245" s="156"/>
      <c r="V245" s="153"/>
      <c r="W245" s="154"/>
      <c r="X245" s="174"/>
      <c r="Y245" s="154"/>
      <c r="Z245" s="156"/>
      <c r="AA245" s="153"/>
      <c r="AB245" s="154"/>
      <c r="AC245" s="155"/>
      <c r="AD245" s="154"/>
      <c r="AE245" s="156"/>
      <c r="AF245" s="153"/>
      <c r="AG245" s="154"/>
      <c r="AH245" s="155"/>
      <c r="AI245" s="154"/>
      <c r="AJ245" s="156"/>
      <c r="AK245" s="7"/>
    </row>
    <row r="246" spans="1:86" ht="18.75" hidden="1" customHeight="1">
      <c r="A246" s="515"/>
      <c r="B246" s="167"/>
      <c r="C246" s="168"/>
      <c r="D246" s="169"/>
      <c r="E246" s="170"/>
      <c r="F246" s="171"/>
      <c r="G246" s="153"/>
      <c r="H246" s="154"/>
      <c r="I246" s="174"/>
      <c r="J246" s="154"/>
      <c r="K246" s="156"/>
      <c r="L246" s="153"/>
      <c r="M246" s="154"/>
      <c r="N246" s="174"/>
      <c r="O246" s="154"/>
      <c r="P246" s="156"/>
      <c r="Q246" s="153"/>
      <c r="R246" s="154"/>
      <c r="S246" s="155"/>
      <c r="T246" s="154"/>
      <c r="U246" s="156"/>
      <c r="V246" s="153"/>
      <c r="W246" s="154"/>
      <c r="X246" s="174"/>
      <c r="Y246" s="154"/>
      <c r="Z246" s="156"/>
      <c r="AA246" s="153"/>
      <c r="AB246" s="154"/>
      <c r="AC246" s="155"/>
      <c r="AD246" s="154"/>
      <c r="AE246" s="156"/>
      <c r="AF246" s="153"/>
      <c r="AG246" s="154"/>
      <c r="AH246" s="155"/>
      <c r="AI246" s="154"/>
      <c r="AJ246" s="156"/>
      <c r="AK246" s="7"/>
    </row>
    <row r="247" spans="1:86" ht="18.75" hidden="1" customHeight="1">
      <c r="A247" s="515"/>
      <c r="B247" s="167"/>
      <c r="C247" s="168"/>
      <c r="D247" s="169"/>
      <c r="E247" s="170"/>
      <c r="F247" s="171"/>
      <c r="G247" s="153"/>
      <c r="H247" s="154"/>
      <c r="I247" s="174"/>
      <c r="J247" s="154"/>
      <c r="K247" s="156"/>
      <c r="L247" s="153"/>
      <c r="M247" s="154"/>
      <c r="N247" s="174"/>
      <c r="O247" s="154"/>
      <c r="P247" s="156"/>
      <c r="Q247" s="153"/>
      <c r="R247" s="154"/>
      <c r="S247" s="155"/>
      <c r="T247" s="154"/>
      <c r="U247" s="156"/>
      <c r="V247" s="153"/>
      <c r="W247" s="154"/>
      <c r="X247" s="174"/>
      <c r="Y247" s="154"/>
      <c r="Z247" s="156"/>
      <c r="AA247" s="153"/>
      <c r="AB247" s="154"/>
      <c r="AC247" s="155"/>
      <c r="AD247" s="154"/>
      <c r="AE247" s="156"/>
      <c r="AF247" s="153"/>
      <c r="AG247" s="154"/>
      <c r="AH247" s="155"/>
      <c r="AI247" s="154"/>
      <c r="AJ247" s="156"/>
      <c r="AK247" s="7"/>
    </row>
    <row r="248" spans="1:86" ht="18.75" hidden="1" customHeight="1">
      <c r="A248" s="515"/>
      <c r="B248" s="167"/>
      <c r="C248" s="168"/>
      <c r="D248" s="169"/>
      <c r="E248" s="170"/>
      <c r="F248" s="171"/>
      <c r="G248" s="153"/>
      <c r="H248" s="154"/>
      <c r="I248" s="174"/>
      <c r="J248" s="154"/>
      <c r="K248" s="156"/>
      <c r="L248" s="153"/>
      <c r="M248" s="154"/>
      <c r="N248" s="174"/>
      <c r="O248" s="154"/>
      <c r="P248" s="156"/>
      <c r="Q248" s="153"/>
      <c r="R248" s="154"/>
      <c r="S248" s="155"/>
      <c r="T248" s="154"/>
      <c r="U248" s="156"/>
      <c r="V248" s="153"/>
      <c r="W248" s="154"/>
      <c r="X248" s="174"/>
      <c r="Y248" s="154"/>
      <c r="Z248" s="156"/>
      <c r="AA248" s="153"/>
      <c r="AB248" s="154"/>
      <c r="AC248" s="155"/>
      <c r="AD248" s="154"/>
      <c r="AE248" s="156"/>
      <c r="AF248" s="153"/>
      <c r="AG248" s="154"/>
      <c r="AH248" s="155"/>
      <c r="AI248" s="154"/>
      <c r="AJ248" s="156"/>
      <c r="AK248" s="7"/>
    </row>
    <row r="249" spans="1:86" ht="18.75" hidden="1" customHeight="1">
      <c r="A249" s="515"/>
      <c r="B249" s="175"/>
      <c r="C249" s="176"/>
      <c r="D249" s="177"/>
      <c r="E249" s="177"/>
      <c r="F249" s="178"/>
      <c r="G249" s="179"/>
      <c r="H249" s="180"/>
      <c r="I249" s="181"/>
      <c r="J249" s="180"/>
      <c r="K249" s="182"/>
      <c r="L249" s="179"/>
      <c r="M249" s="180"/>
      <c r="N249" s="181"/>
      <c r="O249" s="180"/>
      <c r="P249" s="182"/>
      <c r="Q249" s="179"/>
      <c r="R249" s="180"/>
      <c r="S249" s="180"/>
      <c r="T249" s="180"/>
      <c r="U249" s="182"/>
      <c r="V249" s="179"/>
      <c r="W249" s="180"/>
      <c r="X249" s="181"/>
      <c r="Y249" s="180"/>
      <c r="Z249" s="182"/>
      <c r="AA249" s="179"/>
      <c r="AB249" s="180"/>
      <c r="AC249" s="180"/>
      <c r="AD249" s="180"/>
      <c r="AE249" s="182"/>
      <c r="AF249" s="179"/>
      <c r="AG249" s="180"/>
      <c r="AH249" s="180"/>
      <c r="AI249" s="180"/>
      <c r="AJ249" s="182"/>
      <c r="AK249" s="7"/>
    </row>
    <row r="250" spans="1:86" ht="18.75" hidden="1" customHeight="1">
      <c r="A250" s="516"/>
      <c r="B250" s="517" t="s">
        <v>9</v>
      </c>
      <c r="C250" s="518"/>
      <c r="D250" s="519"/>
      <c r="E250" s="518"/>
      <c r="F250" s="32" t="s">
        <v>10</v>
      </c>
      <c r="G250" s="520"/>
      <c r="H250" s="521"/>
      <c r="I250" s="522"/>
      <c r="J250" s="521"/>
      <c r="K250" s="183"/>
      <c r="L250" s="520"/>
      <c r="M250" s="521"/>
      <c r="N250" s="522"/>
      <c r="O250" s="521"/>
      <c r="P250" s="183"/>
      <c r="Q250" s="520"/>
      <c r="R250" s="521"/>
      <c r="S250" s="522"/>
      <c r="T250" s="521"/>
      <c r="U250" s="183"/>
      <c r="V250" s="520"/>
      <c r="W250" s="521"/>
      <c r="X250" s="522"/>
      <c r="Y250" s="521"/>
      <c r="Z250" s="183"/>
      <c r="AA250" s="520"/>
      <c r="AB250" s="521"/>
      <c r="AC250" s="522"/>
      <c r="AD250" s="521"/>
      <c r="AE250" s="183"/>
      <c r="AF250" s="520"/>
      <c r="AG250" s="521"/>
      <c r="AH250" s="522"/>
      <c r="AI250" s="521"/>
      <c r="AJ250" s="183"/>
      <c r="AK250" s="7"/>
    </row>
    <row r="251" spans="1:86" s="1" customFormat="1" ht="18" customHeight="1">
      <c r="A251" s="234"/>
      <c r="B251" s="235"/>
      <c r="C251" s="236"/>
      <c r="D251" s="237"/>
      <c r="E251" s="238"/>
      <c r="F251" s="239"/>
      <c r="G251" s="240"/>
      <c r="H251" s="236"/>
      <c r="I251" s="271"/>
      <c r="J251" s="242"/>
      <c r="K251" s="243"/>
      <c r="L251" s="240"/>
      <c r="M251" s="236" t="s">
        <v>116</v>
      </c>
      <c r="N251" s="241"/>
      <c r="O251" s="236"/>
      <c r="P251" s="243"/>
      <c r="Q251" s="240"/>
      <c r="R251" s="236"/>
      <c r="S251" s="241"/>
      <c r="T251" s="236"/>
      <c r="U251" s="243"/>
      <c r="V251" s="240"/>
      <c r="W251" s="236" t="s">
        <v>116</v>
      </c>
      <c r="X251" s="271"/>
      <c r="Y251" s="242"/>
      <c r="Z251" s="243"/>
      <c r="AA251" s="240"/>
      <c r="AB251" s="236"/>
      <c r="AC251" s="241"/>
      <c r="AD251" s="236"/>
      <c r="AE251" s="243"/>
      <c r="AF251" s="240"/>
      <c r="AG251" s="244"/>
      <c r="AH251" s="245"/>
      <c r="AI251" s="244"/>
      <c r="AJ251" s="243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</row>
    <row r="252" spans="1:86" s="1" customFormat="1" ht="18" customHeight="1">
      <c r="A252" s="234"/>
      <c r="B252" s="235"/>
      <c r="C252" s="236"/>
      <c r="D252" s="237"/>
      <c r="E252" s="238"/>
      <c r="F252" s="239"/>
      <c r="G252" s="235"/>
      <c r="H252" s="236"/>
      <c r="I252" s="271"/>
      <c r="J252" s="242"/>
      <c r="K252" s="239"/>
      <c r="L252" s="235"/>
      <c r="M252" s="236" t="s">
        <v>117</v>
      </c>
      <c r="N252" s="241"/>
      <c r="O252" s="236"/>
      <c r="P252" s="239"/>
      <c r="Q252" s="240"/>
      <c r="R252" s="236"/>
      <c r="S252" s="241"/>
      <c r="T252" s="236"/>
      <c r="U252" s="243"/>
      <c r="V252" s="240"/>
      <c r="W252" s="236" t="s">
        <v>117</v>
      </c>
      <c r="X252" s="271"/>
      <c r="Y252" s="242"/>
      <c r="Z252" s="243"/>
      <c r="AA252" s="240"/>
      <c r="AB252" s="236"/>
      <c r="AC252" s="241"/>
      <c r="AD252" s="236"/>
      <c r="AE252" s="243"/>
      <c r="AF252" s="235"/>
      <c r="AG252" s="236"/>
      <c r="AH252" s="237"/>
      <c r="AI252" s="238"/>
      <c r="AJ252" s="239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</row>
    <row r="253" spans="1:86" s="1" customFormat="1" ht="18" customHeight="1">
      <c r="A253" s="234"/>
      <c r="B253" s="235"/>
      <c r="C253" s="236"/>
      <c r="D253" s="237"/>
      <c r="E253" s="238"/>
      <c r="F253" s="239"/>
      <c r="G253" s="235"/>
      <c r="H253" s="236"/>
      <c r="I253" s="271"/>
      <c r="J253" s="242"/>
      <c r="K253" s="239"/>
      <c r="L253" s="235"/>
      <c r="M253" s="236" t="s">
        <v>118</v>
      </c>
      <c r="N253" s="241"/>
      <c r="O253" s="236"/>
      <c r="P253" s="239"/>
      <c r="Q253" s="240"/>
      <c r="R253" s="236"/>
      <c r="S253" s="241"/>
      <c r="T253" s="236"/>
      <c r="U253" s="243"/>
      <c r="V253" s="240"/>
      <c r="W253" s="236" t="s">
        <v>118</v>
      </c>
      <c r="X253" s="271"/>
      <c r="Y253" s="242"/>
      <c r="Z253" s="243"/>
      <c r="AA253" s="240"/>
      <c r="AB253" s="236"/>
      <c r="AC253" s="241"/>
      <c r="AD253" s="236"/>
      <c r="AE253" s="243"/>
      <c r="AF253" s="235"/>
      <c r="AG253" s="236"/>
      <c r="AH253" s="237"/>
      <c r="AI253" s="238"/>
      <c r="AJ253" s="239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</row>
    <row r="254" spans="1:86" s="1" customFormat="1" ht="18" customHeight="1" thickBot="1">
      <c r="A254" s="234"/>
      <c r="B254" s="235"/>
      <c r="C254" s="236"/>
      <c r="D254" s="237"/>
      <c r="E254" s="238"/>
      <c r="F254" s="239"/>
      <c r="G254" s="246"/>
      <c r="H254" s="247"/>
      <c r="I254" s="272"/>
      <c r="J254" s="249"/>
      <c r="K254" s="250"/>
      <c r="L254" s="246"/>
      <c r="M254" s="247" t="s">
        <v>119</v>
      </c>
      <c r="N254" s="248"/>
      <c r="O254" s="247"/>
      <c r="P254" s="250"/>
      <c r="Q254" s="251"/>
      <c r="R254" s="247"/>
      <c r="S254" s="248"/>
      <c r="T254" s="247"/>
      <c r="U254" s="252"/>
      <c r="V254" s="251"/>
      <c r="W254" s="247" t="s">
        <v>119</v>
      </c>
      <c r="X254" s="272"/>
      <c r="Y254" s="249"/>
      <c r="Z254" s="252"/>
      <c r="AA254" s="251"/>
      <c r="AB254" s="247"/>
      <c r="AC254" s="248"/>
      <c r="AD254" s="247"/>
      <c r="AE254" s="252"/>
      <c r="AF254" s="235"/>
      <c r="AG254" s="236"/>
      <c r="AH254" s="237"/>
      <c r="AI254" s="238"/>
      <c r="AJ254" s="239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</row>
    <row r="255" spans="1:86" s="224" customFormat="1" ht="18" customHeight="1">
      <c r="A255" s="514" t="s">
        <v>69</v>
      </c>
      <c r="B255" s="631" t="s">
        <v>36</v>
      </c>
      <c r="C255" s="632"/>
      <c r="D255" s="219" t="s">
        <v>70</v>
      </c>
      <c r="E255" s="629" t="s">
        <v>71</v>
      </c>
      <c r="F255" s="630"/>
      <c r="G255" s="631" t="s">
        <v>36</v>
      </c>
      <c r="H255" s="632"/>
      <c r="I255" s="219" t="s">
        <v>70</v>
      </c>
      <c r="J255" s="629" t="s">
        <v>71</v>
      </c>
      <c r="K255" s="630"/>
      <c r="L255" s="631" t="s">
        <v>36</v>
      </c>
      <c r="M255" s="632"/>
      <c r="N255" s="219" t="s">
        <v>70</v>
      </c>
      <c r="O255" s="629" t="s">
        <v>71</v>
      </c>
      <c r="P255" s="630"/>
      <c r="Q255" s="631" t="s">
        <v>36</v>
      </c>
      <c r="R255" s="632"/>
      <c r="S255" s="219" t="s">
        <v>70</v>
      </c>
      <c r="T255" s="629" t="s">
        <v>71</v>
      </c>
      <c r="U255" s="630"/>
      <c r="V255" s="631" t="s">
        <v>36</v>
      </c>
      <c r="W255" s="632"/>
      <c r="X255" s="219" t="s">
        <v>70</v>
      </c>
      <c r="Y255" s="629" t="s">
        <v>71</v>
      </c>
      <c r="Z255" s="630"/>
      <c r="AA255" s="631" t="s">
        <v>36</v>
      </c>
      <c r="AB255" s="632"/>
      <c r="AC255" s="219" t="s">
        <v>70</v>
      </c>
      <c r="AD255" s="629" t="s">
        <v>71</v>
      </c>
      <c r="AE255" s="630"/>
      <c r="AF255" s="631" t="s">
        <v>36</v>
      </c>
      <c r="AG255" s="632"/>
      <c r="AH255" s="219" t="s">
        <v>70</v>
      </c>
      <c r="AI255" s="629" t="s">
        <v>71</v>
      </c>
      <c r="AJ255" s="630"/>
      <c r="AK255" s="91"/>
      <c r="AL255"/>
      <c r="AM255"/>
      <c r="AN255"/>
      <c r="AO255"/>
      <c r="AP255"/>
      <c r="AQ255"/>
      <c r="AR255"/>
    </row>
    <row r="256" spans="1:86" s="224" customFormat="1" ht="18" customHeight="1">
      <c r="A256" s="527"/>
      <c r="B256" s="633"/>
      <c r="C256" s="634"/>
      <c r="D256" s="220"/>
      <c r="E256" s="623"/>
      <c r="F256" s="624"/>
      <c r="G256" s="633"/>
      <c r="H256" s="634"/>
      <c r="I256" s="220"/>
      <c r="J256" s="623"/>
      <c r="K256" s="624"/>
      <c r="L256" s="633"/>
      <c r="M256" s="634"/>
      <c r="N256" s="220"/>
      <c r="O256" s="623"/>
      <c r="P256" s="624"/>
      <c r="Q256" s="633"/>
      <c r="R256" s="634"/>
      <c r="S256" s="220"/>
      <c r="T256" s="623"/>
      <c r="U256" s="624"/>
      <c r="V256" s="633"/>
      <c r="W256" s="634"/>
      <c r="X256" s="220"/>
      <c r="Y256" s="623"/>
      <c r="Z256" s="624"/>
      <c r="AA256" s="633"/>
      <c r="AB256" s="634"/>
      <c r="AC256" s="220"/>
      <c r="AD256" s="623"/>
      <c r="AE256" s="624"/>
      <c r="AF256" s="633"/>
      <c r="AG256" s="634"/>
      <c r="AH256" s="220"/>
      <c r="AI256" s="623"/>
      <c r="AJ256" s="624"/>
      <c r="AK256" s="91"/>
      <c r="AL256"/>
      <c r="AM256"/>
      <c r="AN256"/>
      <c r="AO256"/>
      <c r="AP256"/>
      <c r="AQ256"/>
      <c r="AR256"/>
    </row>
    <row r="257" spans="1:86" s="224" customFormat="1" ht="18" customHeight="1">
      <c r="A257" s="527"/>
      <c r="B257" s="625" t="s">
        <v>34</v>
      </c>
      <c r="C257" s="626"/>
      <c r="D257" s="221" t="s">
        <v>72</v>
      </c>
      <c r="E257" s="627" t="s">
        <v>73</v>
      </c>
      <c r="F257" s="628"/>
      <c r="G257" s="625" t="s">
        <v>34</v>
      </c>
      <c r="H257" s="626"/>
      <c r="I257" s="221" t="s">
        <v>72</v>
      </c>
      <c r="J257" s="627" t="s">
        <v>73</v>
      </c>
      <c r="K257" s="628"/>
      <c r="L257" s="625" t="s">
        <v>34</v>
      </c>
      <c r="M257" s="626"/>
      <c r="N257" s="221" t="s">
        <v>72</v>
      </c>
      <c r="O257" s="627" t="s">
        <v>73</v>
      </c>
      <c r="P257" s="628"/>
      <c r="Q257" s="625" t="s">
        <v>34</v>
      </c>
      <c r="R257" s="626"/>
      <c r="S257" s="221" t="s">
        <v>72</v>
      </c>
      <c r="T257" s="627" t="s">
        <v>73</v>
      </c>
      <c r="U257" s="628"/>
      <c r="V257" s="625" t="s">
        <v>34</v>
      </c>
      <c r="W257" s="626"/>
      <c r="X257" s="221" t="s">
        <v>72</v>
      </c>
      <c r="Y257" s="627" t="s">
        <v>73</v>
      </c>
      <c r="Z257" s="628"/>
      <c r="AA257" s="625" t="s">
        <v>34</v>
      </c>
      <c r="AB257" s="626"/>
      <c r="AC257" s="221" t="s">
        <v>72</v>
      </c>
      <c r="AD257" s="627" t="s">
        <v>73</v>
      </c>
      <c r="AE257" s="628"/>
      <c r="AF257" s="625" t="s">
        <v>34</v>
      </c>
      <c r="AG257" s="626"/>
      <c r="AH257" s="221" t="s">
        <v>72</v>
      </c>
      <c r="AI257" s="627" t="s">
        <v>73</v>
      </c>
      <c r="AJ257" s="628"/>
      <c r="AK257" s="91"/>
      <c r="AL257"/>
      <c r="AM257"/>
      <c r="AN257"/>
      <c r="AO257"/>
      <c r="AP257"/>
      <c r="AQ257"/>
      <c r="AR257"/>
    </row>
    <row r="258" spans="1:86" s="224" customFormat="1" ht="18" customHeight="1">
      <c r="A258" s="527"/>
      <c r="B258" s="625"/>
      <c r="C258" s="626"/>
      <c r="D258" s="220"/>
      <c r="E258" s="623"/>
      <c r="F258" s="624"/>
      <c r="G258" s="625"/>
      <c r="H258" s="626"/>
      <c r="I258" s="220"/>
      <c r="J258" s="623"/>
      <c r="K258" s="624"/>
      <c r="L258" s="625"/>
      <c r="M258" s="626"/>
      <c r="N258" s="220"/>
      <c r="O258" s="623"/>
      <c r="P258" s="624"/>
      <c r="Q258" s="625"/>
      <c r="R258" s="626"/>
      <c r="S258" s="220"/>
      <c r="T258" s="623"/>
      <c r="U258" s="624"/>
      <c r="V258" s="625"/>
      <c r="W258" s="626"/>
      <c r="X258" s="220"/>
      <c r="Y258" s="623"/>
      <c r="Z258" s="624"/>
      <c r="AA258" s="625"/>
      <c r="AB258" s="626"/>
      <c r="AC258" s="220"/>
      <c r="AD258" s="623"/>
      <c r="AE258" s="624"/>
      <c r="AF258" s="625"/>
      <c r="AG258" s="626"/>
      <c r="AH258" s="220"/>
      <c r="AI258" s="623"/>
      <c r="AJ258" s="624"/>
      <c r="AK258" s="91"/>
      <c r="AL258"/>
      <c r="AM258"/>
      <c r="AN258"/>
      <c r="AO258"/>
      <c r="AP258"/>
      <c r="AQ258"/>
      <c r="AR258"/>
    </row>
    <row r="259" spans="1:86" s="224" customFormat="1" ht="18" customHeight="1">
      <c r="A259" s="527"/>
      <c r="B259" s="625" t="s">
        <v>74</v>
      </c>
      <c r="C259" s="626"/>
      <c r="D259" s="221" t="s">
        <v>75</v>
      </c>
      <c r="E259" s="627" t="s">
        <v>76</v>
      </c>
      <c r="F259" s="628"/>
      <c r="G259" s="625" t="s">
        <v>74</v>
      </c>
      <c r="H259" s="626"/>
      <c r="I259" s="221" t="s">
        <v>75</v>
      </c>
      <c r="J259" s="627" t="s">
        <v>76</v>
      </c>
      <c r="K259" s="628"/>
      <c r="L259" s="625" t="s">
        <v>74</v>
      </c>
      <c r="M259" s="626"/>
      <c r="N259" s="221" t="s">
        <v>75</v>
      </c>
      <c r="O259" s="627" t="s">
        <v>76</v>
      </c>
      <c r="P259" s="628"/>
      <c r="Q259" s="625" t="s">
        <v>74</v>
      </c>
      <c r="R259" s="626"/>
      <c r="S259" s="221" t="s">
        <v>75</v>
      </c>
      <c r="T259" s="627" t="s">
        <v>76</v>
      </c>
      <c r="U259" s="628"/>
      <c r="V259" s="625" t="s">
        <v>74</v>
      </c>
      <c r="W259" s="626"/>
      <c r="X259" s="221" t="s">
        <v>75</v>
      </c>
      <c r="Y259" s="627" t="s">
        <v>76</v>
      </c>
      <c r="Z259" s="628"/>
      <c r="AA259" s="625" t="s">
        <v>74</v>
      </c>
      <c r="AB259" s="626"/>
      <c r="AC259" s="221" t="s">
        <v>75</v>
      </c>
      <c r="AD259" s="627" t="s">
        <v>76</v>
      </c>
      <c r="AE259" s="628"/>
      <c r="AF259" s="625" t="s">
        <v>74</v>
      </c>
      <c r="AG259" s="626"/>
      <c r="AH259" s="221" t="s">
        <v>75</v>
      </c>
      <c r="AI259" s="627" t="s">
        <v>76</v>
      </c>
      <c r="AJ259" s="628"/>
      <c r="AK259" s="91"/>
      <c r="AL259"/>
      <c r="AM259"/>
      <c r="AN259"/>
      <c r="AO259"/>
      <c r="AP259"/>
      <c r="AQ259"/>
      <c r="AR259"/>
    </row>
    <row r="260" spans="1:86" s="224" customFormat="1" ht="18" customHeight="1" thickBot="1">
      <c r="A260" s="516"/>
      <c r="B260" s="621"/>
      <c r="C260" s="622"/>
      <c r="D260" s="222"/>
      <c r="E260" s="619"/>
      <c r="F260" s="620"/>
      <c r="G260" s="621"/>
      <c r="H260" s="622"/>
      <c r="I260" s="222"/>
      <c r="J260" s="619"/>
      <c r="K260" s="620"/>
      <c r="L260" s="621"/>
      <c r="M260" s="622"/>
      <c r="N260" s="222"/>
      <c r="O260" s="619"/>
      <c r="P260" s="620"/>
      <c r="Q260" s="621"/>
      <c r="R260" s="622"/>
      <c r="S260" s="222"/>
      <c r="T260" s="619"/>
      <c r="U260" s="620"/>
      <c r="V260" s="621"/>
      <c r="W260" s="622"/>
      <c r="X260" s="222"/>
      <c r="Y260" s="619"/>
      <c r="Z260" s="620"/>
      <c r="AA260" s="621"/>
      <c r="AB260" s="622"/>
      <c r="AC260" s="222"/>
      <c r="AD260" s="619"/>
      <c r="AE260" s="620"/>
      <c r="AF260" s="621"/>
      <c r="AG260" s="622"/>
      <c r="AH260" s="222"/>
      <c r="AI260" s="619"/>
      <c r="AJ260" s="620"/>
      <c r="AK260" s="91"/>
      <c r="AL260"/>
      <c r="AM260"/>
      <c r="AN260"/>
      <c r="AO260"/>
      <c r="AP260"/>
      <c r="AQ260"/>
      <c r="AR260"/>
    </row>
    <row r="261" spans="1:86" s="1" customFormat="1" ht="18" customHeight="1">
      <c r="A261" s="603" t="s">
        <v>61</v>
      </c>
      <c r="B261" s="603"/>
      <c r="C261" s="603"/>
      <c r="D261" s="603"/>
      <c r="E261" s="603"/>
      <c r="F261" s="603"/>
      <c r="G261" s="603"/>
      <c r="H261" s="603"/>
      <c r="I261" s="603"/>
      <c r="J261" s="603"/>
      <c r="K261" s="603"/>
      <c r="L261" s="603"/>
      <c r="M261" s="603"/>
      <c r="N261" s="603"/>
      <c r="O261" s="603"/>
      <c r="P261" s="603"/>
      <c r="Q261" s="603"/>
      <c r="R261" s="603"/>
      <c r="S261" s="603"/>
      <c r="T261" s="603"/>
      <c r="U261" s="603"/>
      <c r="V261" s="603"/>
      <c r="W261" s="603"/>
      <c r="X261" s="603"/>
      <c r="Y261" s="603"/>
      <c r="Z261" s="603"/>
      <c r="AA261" s="603"/>
      <c r="AB261" s="603"/>
      <c r="AC261" s="603"/>
      <c r="AD261" s="603"/>
      <c r="AE261" s="603"/>
      <c r="AF261" s="69"/>
      <c r="AG261" s="69"/>
      <c r="AH261" s="69"/>
      <c r="AI261" s="69"/>
      <c r="AJ261" s="69"/>
      <c r="AK261" s="91"/>
      <c r="AL261"/>
      <c r="AM261"/>
      <c r="AN261"/>
      <c r="AO261"/>
      <c r="AP261"/>
      <c r="AQ261"/>
      <c r="AR261"/>
      <c r="AS261" s="224"/>
      <c r="AT261" s="224"/>
      <c r="AU261" s="224"/>
      <c r="AV261" s="224"/>
      <c r="AW261" s="224"/>
      <c r="AX261" s="224"/>
      <c r="AY261" s="224"/>
      <c r="AZ261" s="224"/>
      <c r="BA261" s="224"/>
      <c r="BB261" s="224"/>
      <c r="BC261" s="224"/>
      <c r="BD261" s="224"/>
      <c r="BE261" s="224"/>
      <c r="BF261" s="224"/>
      <c r="BG261" s="224"/>
      <c r="BH261" s="224"/>
      <c r="BI261" s="224"/>
      <c r="BJ261" s="224"/>
      <c r="BK261" s="224"/>
      <c r="BL261" s="224"/>
      <c r="BM261" s="224"/>
      <c r="BN261" s="224"/>
      <c r="BO261" s="224"/>
      <c r="BP261" s="224"/>
      <c r="BQ261" s="224"/>
      <c r="BR261" s="224"/>
      <c r="BS261" s="224"/>
      <c r="BT261" s="224"/>
      <c r="BU261" s="224"/>
      <c r="BV261" s="224"/>
      <c r="BW261" s="224"/>
      <c r="BX261" s="224"/>
      <c r="BY261" s="224"/>
      <c r="BZ261" s="224"/>
      <c r="CA261" s="224"/>
      <c r="CB261" s="224"/>
      <c r="CC261" s="224"/>
      <c r="CD261" s="224"/>
      <c r="CE261" s="224"/>
      <c r="CF261" s="224"/>
      <c r="CG261" s="224"/>
      <c r="CH261" s="224"/>
    </row>
    <row r="262" spans="1:86" s="1" customFormat="1" ht="18" customHeight="1">
      <c r="A262" s="604" t="s">
        <v>62</v>
      </c>
      <c r="B262" s="604"/>
      <c r="C262" s="604"/>
      <c r="D262" s="604"/>
      <c r="E262" s="604"/>
      <c r="F262" s="604"/>
      <c r="G262" s="604"/>
      <c r="H262" s="604"/>
      <c r="I262" s="604"/>
      <c r="J262" s="604"/>
      <c r="K262" s="604"/>
      <c r="L262" s="604"/>
      <c r="M262" s="604"/>
      <c r="N262" s="604"/>
      <c r="O262" s="604"/>
      <c r="P262" s="604"/>
      <c r="Q262" s="604"/>
      <c r="R262" s="604"/>
      <c r="S262" s="604"/>
      <c r="T262" s="604"/>
      <c r="U262" s="604"/>
      <c r="V262" s="604"/>
      <c r="W262" s="604"/>
      <c r="X262" s="604"/>
      <c r="Y262" s="604"/>
      <c r="Z262" s="604"/>
      <c r="AA262" s="604"/>
      <c r="AB262" s="604"/>
      <c r="AC262" s="604"/>
      <c r="AD262" s="604"/>
      <c r="AE262" s="604"/>
      <c r="AF262" s="69"/>
      <c r="AG262" s="69"/>
      <c r="AH262" s="69"/>
      <c r="AI262" s="69"/>
      <c r="AJ262" s="69"/>
      <c r="AK262" s="91"/>
      <c r="AL262"/>
      <c r="AM262"/>
      <c r="AN262"/>
      <c r="AO262"/>
      <c r="AP262"/>
      <c r="AQ262"/>
      <c r="AR262"/>
      <c r="AS262" s="224"/>
      <c r="AT262" s="224"/>
      <c r="AU262" s="224"/>
      <c r="AV262" s="224"/>
      <c r="AW262" s="224"/>
      <c r="AX262" s="224"/>
      <c r="AY262" s="224"/>
      <c r="AZ262" s="224"/>
      <c r="BA262" s="224"/>
      <c r="BB262" s="224"/>
      <c r="BC262" s="224"/>
      <c r="BD262" s="224"/>
      <c r="BE262" s="224"/>
      <c r="BF262" s="224"/>
      <c r="BG262" s="224"/>
      <c r="BH262" s="224"/>
      <c r="BI262" s="224"/>
      <c r="BJ262" s="224"/>
      <c r="BK262" s="224"/>
      <c r="BL262" s="224"/>
      <c r="BM262" s="224"/>
      <c r="BN262" s="224"/>
      <c r="BO262" s="224"/>
      <c r="BP262" s="224"/>
      <c r="BQ262" s="224"/>
      <c r="BR262" s="224"/>
      <c r="BS262" s="224"/>
      <c r="BT262" s="224"/>
      <c r="BU262" s="224"/>
      <c r="BV262" s="224"/>
      <c r="BW262" s="224"/>
      <c r="BX262" s="224"/>
      <c r="BY262" s="224"/>
      <c r="BZ262" s="224"/>
      <c r="CA262" s="224"/>
      <c r="CB262" s="224"/>
      <c r="CC262" s="224"/>
      <c r="CD262" s="224"/>
      <c r="CE262" s="224"/>
      <c r="CF262" s="224"/>
      <c r="CG262" s="224"/>
      <c r="CH262" s="224"/>
    </row>
    <row r="263" spans="1:86" ht="18.75">
      <c r="A263" s="500" t="s">
        <v>64</v>
      </c>
      <c r="B263" s="500"/>
      <c r="C263" s="500"/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7"/>
    </row>
    <row r="264" spans="1:86" ht="16.149999999999999" customHeight="1">
      <c r="A264" s="500" t="s">
        <v>63</v>
      </c>
      <c r="B264" s="500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  <c r="Y264" s="500"/>
      <c r="Z264" s="500"/>
      <c r="AA264" s="500"/>
      <c r="AB264" s="500"/>
      <c r="AC264" s="500"/>
      <c r="AD264" s="500"/>
      <c r="AE264" s="500"/>
      <c r="AF264" s="500"/>
      <c r="AG264" s="500"/>
      <c r="AH264" s="500"/>
      <c r="AI264" s="500"/>
      <c r="AJ264" s="500"/>
      <c r="AK264" s="7"/>
    </row>
    <row r="265" spans="1:86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  <c r="AA265" s="501"/>
      <c r="AB265" s="501"/>
      <c r="AC265" s="501"/>
      <c r="AD265" s="501"/>
      <c r="AE265" s="501"/>
      <c r="AF265" s="501"/>
      <c r="AG265" s="501"/>
      <c r="AH265" s="501"/>
      <c r="AI265" s="501"/>
      <c r="AJ265" s="501"/>
    </row>
    <row r="266" spans="1:86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  <c r="AA266" s="501"/>
      <c r="AB266" s="501"/>
      <c r="AC266" s="501"/>
      <c r="AD266" s="501"/>
      <c r="AE266" s="501"/>
      <c r="AF266" s="501"/>
      <c r="AG266" s="501"/>
      <c r="AH266" s="501"/>
      <c r="AI266" s="501"/>
      <c r="AJ266" s="501"/>
    </row>
    <row r="267" spans="1:86">
      <c r="I267" s="7" t="s">
        <v>77</v>
      </c>
      <c r="J267" s="7">
        <v>590</v>
      </c>
      <c r="N267" s="7" t="s">
        <v>77</v>
      </c>
      <c r="O267" s="7">
        <v>590</v>
      </c>
      <c r="S267" s="7" t="s">
        <v>77</v>
      </c>
      <c r="T267" s="7">
        <v>590</v>
      </c>
      <c r="X267" s="7" t="s">
        <v>77</v>
      </c>
      <c r="Y267" s="7">
        <v>590</v>
      </c>
      <c r="AC267" s="7" t="s">
        <v>77</v>
      </c>
      <c r="AD267" s="7">
        <v>590</v>
      </c>
      <c r="AF267" s="7"/>
      <c r="AG267" s="7"/>
      <c r="AH267" s="7" t="s">
        <v>77</v>
      </c>
      <c r="AI267" s="7">
        <v>863</v>
      </c>
      <c r="AJ267" s="7"/>
    </row>
    <row r="268" spans="1:86">
      <c r="I268" s="7" t="s">
        <v>84</v>
      </c>
      <c r="J268" s="7">
        <f>1287-142-13</f>
        <v>1132</v>
      </c>
      <c r="N268" s="7" t="s">
        <v>84</v>
      </c>
      <c r="O268" s="7">
        <f>1287-142-13-59</f>
        <v>1073</v>
      </c>
      <c r="S268" s="7" t="s">
        <v>84</v>
      </c>
      <c r="T268" s="7">
        <f>1287-142-13</f>
        <v>1132</v>
      </c>
      <c r="X268" s="7" t="s">
        <v>84</v>
      </c>
      <c r="Y268" s="7">
        <f>1287-142-13</f>
        <v>1132</v>
      </c>
      <c r="AC268" s="7" t="s">
        <v>84</v>
      </c>
      <c r="AD268" s="7">
        <f>1287-142-13</f>
        <v>1132</v>
      </c>
      <c r="AF268" s="7"/>
      <c r="AG268" s="7"/>
      <c r="AH268" s="7" t="s">
        <v>79</v>
      </c>
      <c r="AI268" s="7">
        <v>1287</v>
      </c>
      <c r="AJ268" s="7"/>
    </row>
    <row r="269" spans="1:86">
      <c r="I269" s="7" t="s">
        <v>85</v>
      </c>
      <c r="J269" s="7">
        <v>35</v>
      </c>
      <c r="N269" s="7" t="s">
        <v>85</v>
      </c>
      <c r="O269" s="7">
        <v>35</v>
      </c>
      <c r="S269" s="7" t="s">
        <v>85</v>
      </c>
      <c r="T269" s="7">
        <v>35</v>
      </c>
      <c r="X269" s="7" t="s">
        <v>85</v>
      </c>
      <c r="Y269" s="7">
        <v>35</v>
      </c>
      <c r="AC269" s="7" t="s">
        <v>85</v>
      </c>
      <c r="AD269" s="7">
        <v>35</v>
      </c>
      <c r="AF269" s="7"/>
      <c r="AG269" s="7"/>
      <c r="AH269" s="7" t="s">
        <v>85</v>
      </c>
      <c r="AI269" s="7">
        <v>35</v>
      </c>
      <c r="AJ269" s="7"/>
    </row>
    <row r="270" spans="1:86">
      <c r="AF270" s="7"/>
      <c r="AG270" s="7"/>
      <c r="AH270" s="7"/>
      <c r="AI270" s="7"/>
      <c r="AJ270" s="7"/>
    </row>
    <row r="271" spans="1:86">
      <c r="AF271" s="7"/>
      <c r="AG271" s="7"/>
      <c r="AH271" s="7"/>
      <c r="AI271" s="7"/>
      <c r="AJ271" s="7"/>
    </row>
    <row r="272" spans="1:86">
      <c r="AF272" s="7"/>
      <c r="AG272" s="7"/>
      <c r="AH272" s="7"/>
      <c r="AI272" s="7"/>
      <c r="AJ272" s="7"/>
    </row>
    <row r="273" spans="7:36">
      <c r="AF273" s="7"/>
      <c r="AG273" s="7"/>
      <c r="AH273" s="7"/>
      <c r="AI273" s="7"/>
      <c r="AJ273" s="7"/>
    </row>
    <row r="274" spans="7:36">
      <c r="G274" s="224"/>
      <c r="H274" s="224"/>
      <c r="I274" s="224"/>
      <c r="J274" s="224"/>
      <c r="K274" s="224"/>
      <c r="AF274" s="7"/>
      <c r="AG274" s="7"/>
      <c r="AH274" s="7"/>
      <c r="AI274" s="7"/>
      <c r="AJ274" s="7"/>
    </row>
    <row r="275" spans="7:36">
      <c r="G275" s="224"/>
      <c r="H275" s="224"/>
      <c r="I275" s="224"/>
      <c r="J275" s="224"/>
      <c r="K275" s="224"/>
      <c r="AF275" s="7"/>
      <c r="AG275" s="7"/>
      <c r="AH275" s="7"/>
      <c r="AI275" s="7"/>
      <c r="AJ275" s="7"/>
    </row>
    <row r="276" spans="7:36">
      <c r="G276" s="224"/>
      <c r="H276" s="224"/>
      <c r="I276" s="224"/>
      <c r="J276" s="224"/>
      <c r="K276" s="224"/>
      <c r="AF276" s="7"/>
      <c r="AG276" s="7"/>
      <c r="AH276" s="7"/>
      <c r="AI276" s="7"/>
      <c r="AJ276" s="7"/>
    </row>
    <row r="277" spans="7:36">
      <c r="G277" s="224"/>
      <c r="H277" s="224"/>
      <c r="I277" s="224"/>
      <c r="J277" s="224"/>
      <c r="K277" s="224"/>
      <c r="AF277" s="7"/>
      <c r="AG277" s="7"/>
      <c r="AH277" s="7"/>
      <c r="AI277" s="7"/>
      <c r="AJ277" s="7"/>
    </row>
    <row r="278" spans="7:36">
      <c r="G278" s="224"/>
      <c r="H278" s="224"/>
      <c r="I278" s="224"/>
      <c r="J278" s="224"/>
      <c r="K278" s="224"/>
      <c r="W278" s="224"/>
      <c r="X278" s="225"/>
      <c r="Y278" s="224"/>
      <c r="Z278" s="224"/>
      <c r="AA278" s="224"/>
      <c r="AF278" s="7"/>
      <c r="AG278" s="7"/>
      <c r="AH278" s="7"/>
      <c r="AI278" s="7"/>
      <c r="AJ278" s="7"/>
    </row>
    <row r="279" spans="7:36">
      <c r="G279" s="224"/>
      <c r="H279" s="224"/>
      <c r="I279" s="224"/>
      <c r="J279" s="224"/>
      <c r="K279" s="224"/>
      <c r="W279" s="224"/>
      <c r="X279" s="225"/>
      <c r="Y279" s="224"/>
      <c r="Z279" s="224"/>
      <c r="AA279" s="224"/>
      <c r="AF279" s="7"/>
      <c r="AG279" s="7"/>
      <c r="AH279" s="7"/>
      <c r="AI279" s="7"/>
      <c r="AJ279" s="7"/>
    </row>
    <row r="280" spans="7:36">
      <c r="G280" s="224"/>
      <c r="H280" s="224"/>
      <c r="I280" s="224"/>
      <c r="J280" s="224"/>
      <c r="K280" s="224"/>
      <c r="W280" s="224"/>
      <c r="X280" s="225"/>
      <c r="Y280" s="224"/>
      <c r="Z280" s="224"/>
      <c r="AA280" s="224"/>
      <c r="AF280" s="7"/>
      <c r="AG280" s="7"/>
      <c r="AH280" s="7"/>
      <c r="AI280" s="7"/>
      <c r="AJ280" s="7"/>
    </row>
    <row r="281" spans="7:36">
      <c r="G281" s="224"/>
      <c r="H281" s="224"/>
      <c r="I281" s="224"/>
      <c r="J281" s="224"/>
      <c r="K281" s="224"/>
      <c r="W281" s="224"/>
      <c r="X281" s="225"/>
      <c r="Y281" s="224"/>
      <c r="Z281" s="224"/>
      <c r="AA281" s="224"/>
      <c r="AF281" s="7"/>
      <c r="AG281" s="7"/>
      <c r="AH281" s="7"/>
      <c r="AI281" s="7"/>
      <c r="AJ281" s="7"/>
    </row>
    <row r="282" spans="7:36">
      <c r="G282" s="224"/>
      <c r="H282" s="224"/>
      <c r="I282" s="224"/>
      <c r="J282" s="224"/>
      <c r="K282" s="224"/>
      <c r="W282" s="224"/>
      <c r="X282" s="225"/>
      <c r="Y282" s="224"/>
      <c r="Z282" s="224"/>
      <c r="AA282" s="224"/>
      <c r="AF282" s="7"/>
      <c r="AG282" s="7"/>
      <c r="AH282" s="7"/>
      <c r="AI282" s="7"/>
      <c r="AJ282" s="7"/>
    </row>
    <row r="283" spans="7:36">
      <c r="G283" s="224"/>
      <c r="H283" s="224"/>
      <c r="I283" s="224"/>
      <c r="J283" s="224"/>
      <c r="K283" s="224"/>
      <c r="W283" s="224"/>
      <c r="X283" s="225"/>
      <c r="Y283" s="224"/>
      <c r="Z283" s="224"/>
      <c r="AA283" s="224"/>
      <c r="AF283" s="7"/>
      <c r="AG283" s="7"/>
      <c r="AH283" s="7"/>
      <c r="AI283" s="7"/>
      <c r="AJ283" s="7"/>
    </row>
    <row r="284" spans="7:36">
      <c r="G284" s="224"/>
      <c r="H284" s="224"/>
      <c r="I284" s="224"/>
      <c r="J284" s="224"/>
      <c r="K284" s="224"/>
      <c r="W284" s="224"/>
      <c r="X284" s="225"/>
      <c r="Y284" s="224"/>
      <c r="Z284" s="224"/>
      <c r="AA284" s="224"/>
      <c r="AF284" s="7"/>
      <c r="AG284" s="7"/>
      <c r="AH284" s="7"/>
      <c r="AI284" s="7"/>
      <c r="AJ284" s="7"/>
    </row>
    <row r="285" spans="7:36">
      <c r="G285" s="224"/>
      <c r="H285" s="224"/>
      <c r="I285" s="224"/>
      <c r="J285" s="224"/>
      <c r="K285" s="224"/>
      <c r="W285" s="224"/>
      <c r="X285" s="225"/>
      <c r="Y285" s="224"/>
      <c r="Z285" s="224"/>
      <c r="AA285" s="224"/>
    </row>
    <row r="286" spans="7:36">
      <c r="G286" s="224"/>
      <c r="H286" s="224"/>
      <c r="I286" s="224"/>
      <c r="J286" s="224"/>
      <c r="K286" s="224"/>
      <c r="W286" s="224"/>
      <c r="X286" s="225"/>
      <c r="Y286" s="224"/>
      <c r="Z286" s="224"/>
      <c r="AA286" s="224"/>
    </row>
    <row r="287" spans="7:36">
      <c r="G287" s="224"/>
      <c r="H287" s="224"/>
      <c r="I287" s="224"/>
      <c r="J287" s="224"/>
      <c r="K287" s="224"/>
      <c r="W287" s="224"/>
      <c r="X287" s="225"/>
      <c r="Y287" s="224"/>
      <c r="Z287" s="224"/>
      <c r="AA287" s="224"/>
    </row>
    <row r="288" spans="7:36">
      <c r="G288" s="224"/>
      <c r="H288" s="224"/>
      <c r="I288" s="224"/>
      <c r="J288" s="224"/>
      <c r="K288" s="224"/>
      <c r="W288" s="224"/>
      <c r="X288" s="225"/>
      <c r="Y288" s="224"/>
      <c r="Z288" s="224"/>
      <c r="AA288" s="224"/>
    </row>
    <row r="289" spans="23:27">
      <c r="W289" s="224"/>
      <c r="X289" s="225"/>
      <c r="Y289" s="224"/>
      <c r="Z289" s="224"/>
      <c r="AA289" s="224"/>
    </row>
    <row r="290" spans="23:27">
      <c r="W290" s="224"/>
      <c r="X290" s="225"/>
      <c r="Y290" s="224"/>
      <c r="Z290" s="224"/>
      <c r="AA290" s="224"/>
    </row>
    <row r="291" spans="23:27">
      <c r="W291" s="224"/>
      <c r="X291" s="225"/>
      <c r="Y291" s="224"/>
      <c r="Z291" s="224"/>
      <c r="AA291" s="224"/>
    </row>
    <row r="292" spans="23:27">
      <c r="W292" s="224"/>
      <c r="X292" s="225"/>
      <c r="Y292" s="224"/>
      <c r="Z292" s="224"/>
      <c r="AA292" s="224"/>
    </row>
  </sheetData>
  <mergeCells count="243">
    <mergeCell ref="A1:AJ1"/>
    <mergeCell ref="A2:A3"/>
    <mergeCell ref="B2:C2"/>
    <mergeCell ref="G2:H2"/>
    <mergeCell ref="L2:M2"/>
    <mergeCell ref="Q2:R2"/>
    <mergeCell ref="V2:W2"/>
    <mergeCell ref="AA2:AB2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A34:AA48"/>
    <mergeCell ref="AF34:AF48"/>
    <mergeCell ref="A49:A64"/>
    <mergeCell ref="B49:B64"/>
    <mergeCell ref="G49:G64"/>
    <mergeCell ref="L49:L64"/>
    <mergeCell ref="Q49:Q64"/>
    <mergeCell ref="V49:V64"/>
    <mergeCell ref="AA49:AA64"/>
    <mergeCell ref="AF49:AF64"/>
    <mergeCell ref="A34:A48"/>
    <mergeCell ref="B34:B48"/>
    <mergeCell ref="G34:G48"/>
    <mergeCell ref="L34:L48"/>
    <mergeCell ref="Q34:Q48"/>
    <mergeCell ref="V34:V48"/>
    <mergeCell ref="M49:P52"/>
    <mergeCell ref="AA65:AA79"/>
    <mergeCell ref="AF65:AF79"/>
    <mergeCell ref="A80:A94"/>
    <mergeCell ref="B80:B94"/>
    <mergeCell ref="G80:G94"/>
    <mergeCell ref="L80:L94"/>
    <mergeCell ref="Q80:Q94"/>
    <mergeCell ref="V80:V94"/>
    <mergeCell ref="AA80:AA94"/>
    <mergeCell ref="AF80:AF94"/>
    <mergeCell ref="A65:A79"/>
    <mergeCell ref="B65:B79"/>
    <mergeCell ref="G65:G79"/>
    <mergeCell ref="L65:L79"/>
    <mergeCell ref="Q65:Q79"/>
    <mergeCell ref="V65:V79"/>
    <mergeCell ref="AA95:AA109"/>
    <mergeCell ref="AF95:AF109"/>
    <mergeCell ref="A110:A124"/>
    <mergeCell ref="B110:B124"/>
    <mergeCell ref="G110:G124"/>
    <mergeCell ref="L110:L124"/>
    <mergeCell ref="Q110:Q124"/>
    <mergeCell ref="V110:V124"/>
    <mergeCell ref="AA110:AA124"/>
    <mergeCell ref="AF110:AF124"/>
    <mergeCell ref="A95:A109"/>
    <mergeCell ref="B95:B109"/>
    <mergeCell ref="G95:G109"/>
    <mergeCell ref="L95:L109"/>
    <mergeCell ref="Q95:Q109"/>
    <mergeCell ref="V95:V109"/>
    <mergeCell ref="AA125:AA139"/>
    <mergeCell ref="AF125:AF139"/>
    <mergeCell ref="A140:A154"/>
    <mergeCell ref="B140:B154"/>
    <mergeCell ref="G140:G154"/>
    <mergeCell ref="L140:L154"/>
    <mergeCell ref="Q140:Q154"/>
    <mergeCell ref="V140:V154"/>
    <mergeCell ref="AA140:AA154"/>
    <mergeCell ref="AF140:AF154"/>
    <mergeCell ref="A125:A139"/>
    <mergeCell ref="B125:B139"/>
    <mergeCell ref="G125:G139"/>
    <mergeCell ref="L125:L139"/>
    <mergeCell ref="Q125:Q139"/>
    <mergeCell ref="V125:V139"/>
    <mergeCell ref="AA155:AA169"/>
    <mergeCell ref="AF155:AF169"/>
    <mergeCell ref="A170:A184"/>
    <mergeCell ref="B170:B184"/>
    <mergeCell ref="G170:G184"/>
    <mergeCell ref="L170:L184"/>
    <mergeCell ref="Q170:Q184"/>
    <mergeCell ref="V170:V184"/>
    <mergeCell ref="AA170:AA184"/>
    <mergeCell ref="AF170:AF184"/>
    <mergeCell ref="A155:A169"/>
    <mergeCell ref="B155:B169"/>
    <mergeCell ref="G155:G169"/>
    <mergeCell ref="L155:L169"/>
    <mergeCell ref="Q155:Q169"/>
    <mergeCell ref="V155:V169"/>
    <mergeCell ref="AA185:AA199"/>
    <mergeCell ref="AF185:AF199"/>
    <mergeCell ref="A200:A214"/>
    <mergeCell ref="B200:B214"/>
    <mergeCell ref="G200:G214"/>
    <mergeCell ref="L200:L214"/>
    <mergeCell ref="Q200:Q214"/>
    <mergeCell ref="V200:V214"/>
    <mergeCell ref="AA200:AA214"/>
    <mergeCell ref="AF200:AF214"/>
    <mergeCell ref="A185:A199"/>
    <mergeCell ref="B185:B199"/>
    <mergeCell ref="G185:G199"/>
    <mergeCell ref="L185:L199"/>
    <mergeCell ref="Q185:Q199"/>
    <mergeCell ref="V185:V199"/>
    <mergeCell ref="AC234:AD234"/>
    <mergeCell ref="AF234:AG234"/>
    <mergeCell ref="AH234:AI234"/>
    <mergeCell ref="A235:A250"/>
    <mergeCell ref="B250:C250"/>
    <mergeCell ref="D250:E250"/>
    <mergeCell ref="G250:H250"/>
    <mergeCell ref="I250:J250"/>
    <mergeCell ref="L250:M250"/>
    <mergeCell ref="N250:O250"/>
    <mergeCell ref="N234:O234"/>
    <mergeCell ref="Q234:R234"/>
    <mergeCell ref="S234:T234"/>
    <mergeCell ref="V234:W234"/>
    <mergeCell ref="X234:Y234"/>
    <mergeCell ref="AA234:AB234"/>
    <mergeCell ref="A215:A234"/>
    <mergeCell ref="B234:C234"/>
    <mergeCell ref="D234:E234"/>
    <mergeCell ref="G234:H234"/>
    <mergeCell ref="I234:J234"/>
    <mergeCell ref="L234:M234"/>
    <mergeCell ref="AF250:AG250"/>
    <mergeCell ref="AH250:AI250"/>
    <mergeCell ref="Q250:R250"/>
    <mergeCell ref="B258:C258"/>
    <mergeCell ref="E258:F258"/>
    <mergeCell ref="G258:H258"/>
    <mergeCell ref="J258:K258"/>
    <mergeCell ref="L258:M258"/>
    <mergeCell ref="O258:P258"/>
    <mergeCell ref="Q258:R258"/>
    <mergeCell ref="B260:C260"/>
    <mergeCell ref="E260:F260"/>
    <mergeCell ref="G260:H260"/>
    <mergeCell ref="J260:K260"/>
    <mergeCell ref="L260:M260"/>
    <mergeCell ref="S250:T250"/>
    <mergeCell ref="V250:W250"/>
    <mergeCell ref="X250:Y250"/>
    <mergeCell ref="AA250:AB250"/>
    <mergeCell ref="AC250:AD250"/>
    <mergeCell ref="AI255:AJ255"/>
    <mergeCell ref="B256:C256"/>
    <mergeCell ref="E256:F256"/>
    <mergeCell ref="G256:H256"/>
    <mergeCell ref="J256:K256"/>
    <mergeCell ref="L256:M256"/>
    <mergeCell ref="O256:P256"/>
    <mergeCell ref="Q256:R256"/>
    <mergeCell ref="T256:U256"/>
    <mergeCell ref="V256:W256"/>
    <mergeCell ref="T255:U255"/>
    <mergeCell ref="V255:W255"/>
    <mergeCell ref="Y255:Z255"/>
    <mergeCell ref="AA255:AB255"/>
    <mergeCell ref="AD255:AE255"/>
    <mergeCell ref="AF255:AG255"/>
    <mergeCell ref="Y256:Z256"/>
    <mergeCell ref="AA256:AB256"/>
    <mergeCell ref="AD256:AE256"/>
    <mergeCell ref="AI259:AJ259"/>
    <mergeCell ref="AF256:AG256"/>
    <mergeCell ref="AI256:AJ256"/>
    <mergeCell ref="B257:C257"/>
    <mergeCell ref="E257:F257"/>
    <mergeCell ref="G257:H257"/>
    <mergeCell ref="J257:K257"/>
    <mergeCell ref="L257:M257"/>
    <mergeCell ref="AD257:AE257"/>
    <mergeCell ref="AF257:AG257"/>
    <mergeCell ref="AI257:AJ257"/>
    <mergeCell ref="O257:P257"/>
    <mergeCell ref="Q257:R257"/>
    <mergeCell ref="T257:U257"/>
    <mergeCell ref="V257:W257"/>
    <mergeCell ref="Y257:Z257"/>
    <mergeCell ref="AA257:AB257"/>
    <mergeCell ref="T258:U258"/>
    <mergeCell ref="V258:W258"/>
    <mergeCell ref="Y258:Z258"/>
    <mergeCell ref="AA258:AB258"/>
    <mergeCell ref="AD258:AE258"/>
    <mergeCell ref="AF258:AG258"/>
    <mergeCell ref="Y259:Z259"/>
    <mergeCell ref="AA259:AB259"/>
    <mergeCell ref="AD259:AE259"/>
    <mergeCell ref="AF259:AG259"/>
    <mergeCell ref="B259:C259"/>
    <mergeCell ref="E259:F259"/>
    <mergeCell ref="G259:H259"/>
    <mergeCell ref="J259:K259"/>
    <mergeCell ref="L259:M259"/>
    <mergeCell ref="O259:P259"/>
    <mergeCell ref="Q259:R259"/>
    <mergeCell ref="T259:U259"/>
    <mergeCell ref="V259:W259"/>
    <mergeCell ref="A264:AJ264"/>
    <mergeCell ref="A265:AJ265"/>
    <mergeCell ref="A266:AJ266"/>
    <mergeCell ref="AD260:AE260"/>
    <mergeCell ref="AF260:AG260"/>
    <mergeCell ref="AI260:AJ260"/>
    <mergeCell ref="A261:AE261"/>
    <mergeCell ref="A262:AE262"/>
    <mergeCell ref="A263:AJ263"/>
    <mergeCell ref="O260:P260"/>
    <mergeCell ref="Q260:R260"/>
    <mergeCell ref="T260:U260"/>
    <mergeCell ref="V260:W260"/>
    <mergeCell ref="Y260:Z260"/>
    <mergeCell ref="AA260:AB260"/>
    <mergeCell ref="A255:A260"/>
    <mergeCell ref="B255:C255"/>
    <mergeCell ref="E255:F255"/>
    <mergeCell ref="G255:H255"/>
    <mergeCell ref="J255:K255"/>
    <mergeCell ref="L255:M255"/>
    <mergeCell ref="O255:P255"/>
    <mergeCell ref="Q255:R255"/>
    <mergeCell ref="AI258:AJ258"/>
  </mergeCells>
  <phoneticPr fontId="16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opLeftCell="A22" workbookViewId="0">
      <selection activeCell="F28" sqref="F28"/>
    </sheetView>
  </sheetViews>
  <sheetFormatPr defaultColWidth="8.75" defaultRowHeight="16.5"/>
  <cols>
    <col min="3" max="4" width="9" bestFit="1" customWidth="1"/>
    <col min="5" max="21" width="9.375" bestFit="1" customWidth="1"/>
  </cols>
  <sheetData>
    <row r="1" spans="1:22" ht="19.5">
      <c r="A1" s="396" t="s">
        <v>308</v>
      </c>
    </row>
    <row r="2" spans="1:22">
      <c r="A2" s="668" t="s">
        <v>309</v>
      </c>
      <c r="B2" s="669"/>
      <c r="C2" s="663" t="s">
        <v>335</v>
      </c>
      <c r="D2" s="663"/>
      <c r="E2" s="663"/>
      <c r="F2" s="663"/>
      <c r="G2" s="663"/>
      <c r="H2" s="663" t="s">
        <v>311</v>
      </c>
      <c r="I2" s="663"/>
      <c r="J2" s="663"/>
      <c r="K2" s="663"/>
      <c r="L2" s="663" t="s">
        <v>312</v>
      </c>
      <c r="M2" s="663"/>
      <c r="N2" s="663"/>
      <c r="O2" s="663"/>
      <c r="P2" s="663"/>
      <c r="Q2" s="663" t="s">
        <v>313</v>
      </c>
      <c r="R2" s="663"/>
      <c r="S2" s="663"/>
      <c r="T2" s="663"/>
      <c r="U2" s="663"/>
    </row>
    <row r="3" spans="1:22">
      <c r="A3" s="664" t="s">
        <v>314</v>
      </c>
      <c r="B3" s="665"/>
      <c r="C3" s="397">
        <v>45446</v>
      </c>
      <c r="D3" s="397">
        <v>45447</v>
      </c>
      <c r="E3" s="397">
        <v>45448</v>
      </c>
      <c r="F3" s="397">
        <v>45449</v>
      </c>
      <c r="G3" s="397">
        <v>45450</v>
      </c>
      <c r="H3" s="398">
        <v>45454</v>
      </c>
      <c r="I3" s="398">
        <v>45455</v>
      </c>
      <c r="J3" s="398">
        <v>45456</v>
      </c>
      <c r="K3" s="398">
        <v>45457</v>
      </c>
      <c r="L3" s="399">
        <v>45460</v>
      </c>
      <c r="M3" s="399">
        <v>45461</v>
      </c>
      <c r="N3" s="399">
        <v>45462</v>
      </c>
      <c r="O3" s="399">
        <v>45463</v>
      </c>
      <c r="P3" s="399">
        <v>45464</v>
      </c>
      <c r="Q3" s="400">
        <v>45467</v>
      </c>
      <c r="R3" s="400">
        <v>45468</v>
      </c>
      <c r="S3" s="400">
        <v>45469</v>
      </c>
      <c r="T3" s="400">
        <v>45470</v>
      </c>
      <c r="U3" s="400">
        <v>45471</v>
      </c>
    </row>
    <row r="4" spans="1:22">
      <c r="A4" s="666" t="s">
        <v>315</v>
      </c>
      <c r="B4" s="667"/>
      <c r="C4" s="401"/>
      <c r="D4" s="401">
        <v>1</v>
      </c>
      <c r="E4" s="401"/>
      <c r="F4" s="401">
        <v>1</v>
      </c>
      <c r="G4" s="401"/>
      <c r="H4" s="402">
        <v>1</v>
      </c>
      <c r="I4" s="402"/>
      <c r="J4" s="402">
        <v>1</v>
      </c>
      <c r="K4" s="402"/>
      <c r="L4" s="403"/>
      <c r="M4" s="403">
        <v>1</v>
      </c>
      <c r="N4" s="403"/>
      <c r="O4" s="403">
        <v>1</v>
      </c>
      <c r="P4" s="403"/>
      <c r="Q4" s="404"/>
      <c r="R4" s="404">
        <v>1</v>
      </c>
      <c r="S4" s="404"/>
      <c r="T4" s="404">
        <v>1</v>
      </c>
      <c r="U4" s="404"/>
      <c r="V4">
        <f t="shared" ref="V4:V10" si="0">AVERAGE(C4:U4)</f>
        <v>1</v>
      </c>
    </row>
    <row r="5" spans="1:22">
      <c r="A5" s="666" t="s">
        <v>316</v>
      </c>
      <c r="B5" s="667"/>
      <c r="C5" s="401"/>
      <c r="D5" s="401"/>
      <c r="E5" s="401">
        <v>1</v>
      </c>
      <c r="F5" s="401"/>
      <c r="G5" s="401">
        <v>1</v>
      </c>
      <c r="H5" s="402"/>
      <c r="I5" s="402">
        <v>1</v>
      </c>
      <c r="J5" s="402"/>
      <c r="K5" s="402">
        <v>1</v>
      </c>
      <c r="L5" s="403"/>
      <c r="M5" s="403"/>
      <c r="N5" s="403">
        <v>1</v>
      </c>
      <c r="O5" s="403"/>
      <c r="P5" s="403">
        <v>1</v>
      </c>
      <c r="Q5" s="404"/>
      <c r="R5" s="404"/>
      <c r="S5" s="404">
        <v>1</v>
      </c>
      <c r="T5" s="404"/>
      <c r="U5" s="404">
        <v>1</v>
      </c>
      <c r="V5">
        <f t="shared" si="0"/>
        <v>1</v>
      </c>
    </row>
    <row r="6" spans="1:22">
      <c r="A6" s="666" t="s">
        <v>317</v>
      </c>
      <c r="B6" s="667"/>
      <c r="C6" s="401">
        <f>0.2+0.38+0.68+0.15</f>
        <v>1.4100000000000001</v>
      </c>
      <c r="D6" s="401">
        <f>0.4+0.6+0.5+0.68+0.15</f>
        <v>2.33</v>
      </c>
      <c r="E6" s="401">
        <f>0.02+0.68+0.15</f>
        <v>0.85000000000000009</v>
      </c>
      <c r="F6" s="401">
        <f>0.23+0.23+0.68+0.15</f>
        <v>1.29</v>
      </c>
      <c r="G6" s="401"/>
      <c r="H6" s="402"/>
      <c r="I6" s="402"/>
      <c r="J6" s="402"/>
      <c r="K6" s="402"/>
      <c r="L6" s="403"/>
      <c r="M6" s="403"/>
      <c r="N6" s="403"/>
      <c r="O6" s="403"/>
      <c r="P6" s="403"/>
      <c r="Q6" s="404"/>
      <c r="R6" s="404"/>
      <c r="S6" s="404"/>
      <c r="T6" s="404"/>
      <c r="U6" s="404"/>
      <c r="V6">
        <f t="shared" si="0"/>
        <v>1.47</v>
      </c>
    </row>
    <row r="7" spans="1:22">
      <c r="A7" s="666" t="s">
        <v>318</v>
      </c>
      <c r="B7" s="667"/>
      <c r="C7" s="401">
        <f>4.25+0.33</f>
        <v>4.58</v>
      </c>
      <c r="D7" s="401">
        <f t="shared" ref="D7:U7" si="1">4.25</f>
        <v>4.25</v>
      </c>
      <c r="E7" s="401">
        <f t="shared" si="1"/>
        <v>4.25</v>
      </c>
      <c r="F7" s="401">
        <f>4.25+1+0.23</f>
        <v>5.48</v>
      </c>
      <c r="G7" s="401">
        <f t="shared" si="1"/>
        <v>4.25</v>
      </c>
      <c r="H7" s="402">
        <f t="shared" si="1"/>
        <v>4.25</v>
      </c>
      <c r="I7" s="402">
        <f t="shared" si="1"/>
        <v>4.25</v>
      </c>
      <c r="J7" s="402">
        <f t="shared" si="1"/>
        <v>4.25</v>
      </c>
      <c r="K7" s="402">
        <f t="shared" si="1"/>
        <v>4.25</v>
      </c>
      <c r="L7" s="403">
        <f t="shared" si="1"/>
        <v>4.25</v>
      </c>
      <c r="M7" s="403">
        <f t="shared" si="1"/>
        <v>4.25</v>
      </c>
      <c r="N7" s="403">
        <f t="shared" si="1"/>
        <v>4.25</v>
      </c>
      <c r="O7" s="403">
        <f t="shared" si="1"/>
        <v>4.25</v>
      </c>
      <c r="P7" s="403">
        <f t="shared" si="1"/>
        <v>4.25</v>
      </c>
      <c r="Q7" s="404">
        <f t="shared" si="1"/>
        <v>4.25</v>
      </c>
      <c r="R7" s="404">
        <f t="shared" si="1"/>
        <v>4.25</v>
      </c>
      <c r="S7" s="404">
        <f t="shared" si="1"/>
        <v>4.25</v>
      </c>
      <c r="T7" s="404">
        <f t="shared" si="1"/>
        <v>4.25</v>
      </c>
      <c r="U7" s="404">
        <f t="shared" si="1"/>
        <v>4.25</v>
      </c>
      <c r="V7">
        <f t="shared" si="0"/>
        <v>4.3321052631578949</v>
      </c>
    </row>
    <row r="8" spans="1:22">
      <c r="A8" s="666" t="s">
        <v>319</v>
      </c>
      <c r="B8" s="667"/>
      <c r="C8" s="401"/>
      <c r="D8" s="401"/>
      <c r="E8" s="401"/>
      <c r="F8" s="401">
        <f>2.4+0.1</f>
        <v>2.5</v>
      </c>
      <c r="G8" s="401"/>
      <c r="H8" s="402"/>
      <c r="I8" s="402"/>
      <c r="J8" s="402"/>
      <c r="K8" s="402"/>
      <c r="L8" s="403"/>
      <c r="M8" s="403"/>
      <c r="N8" s="403"/>
      <c r="O8" s="403"/>
      <c r="P8" s="403"/>
      <c r="Q8" s="404"/>
      <c r="R8" s="404"/>
      <c r="S8" s="404"/>
      <c r="T8" s="404"/>
      <c r="U8" s="404"/>
      <c r="V8">
        <f t="shared" si="0"/>
        <v>2.5</v>
      </c>
    </row>
    <row r="9" spans="1:22">
      <c r="A9" s="666" t="s">
        <v>320</v>
      </c>
      <c r="B9" s="667"/>
      <c r="C9" s="401">
        <f>2.14+0.1+0.32</f>
        <v>2.56</v>
      </c>
      <c r="D9" s="401">
        <f>2+0.25+0.18</f>
        <v>2.4300000000000002</v>
      </c>
      <c r="E9" s="401">
        <f>1.14+0.2</f>
        <v>1.3399999999999999</v>
      </c>
      <c r="F9" s="401">
        <f>0.22</f>
        <v>0.22</v>
      </c>
      <c r="G9" s="401"/>
      <c r="H9" s="402"/>
      <c r="I9" s="402"/>
      <c r="J9" s="402"/>
      <c r="K9" s="402"/>
      <c r="L9" s="403"/>
      <c r="M9" s="403"/>
      <c r="N9" s="403"/>
      <c r="O9" s="403"/>
      <c r="P9" s="403"/>
      <c r="Q9" s="404"/>
      <c r="R9" s="404"/>
      <c r="S9" s="404"/>
      <c r="T9" s="404"/>
      <c r="U9" s="404"/>
      <c r="V9">
        <f t="shared" si="0"/>
        <v>1.6375</v>
      </c>
    </row>
    <row r="10" spans="1:22">
      <c r="A10" s="666" t="s">
        <v>321</v>
      </c>
      <c r="B10" s="667"/>
      <c r="C10" s="401"/>
      <c r="D10" s="401"/>
      <c r="E10" s="401"/>
      <c r="F10" s="401"/>
      <c r="G10" s="401"/>
      <c r="H10" s="402"/>
      <c r="I10" s="402"/>
      <c r="J10" s="402"/>
      <c r="K10" s="402"/>
      <c r="L10" s="403"/>
      <c r="M10" s="403"/>
      <c r="N10" s="403"/>
      <c r="O10" s="403"/>
      <c r="P10" s="403"/>
      <c r="Q10" s="404"/>
      <c r="R10" s="404"/>
      <c r="S10" s="404"/>
      <c r="T10" s="404"/>
      <c r="U10" s="404"/>
      <c r="V10" t="e">
        <f t="shared" si="0"/>
        <v>#DIV/0!</v>
      </c>
    </row>
    <row r="11" spans="1:22">
      <c r="A11" s="666" t="s">
        <v>322</v>
      </c>
      <c r="B11" s="667"/>
      <c r="C11" s="401">
        <v>1.5</v>
      </c>
      <c r="D11" s="401"/>
      <c r="E11" s="401">
        <v>1</v>
      </c>
      <c r="F11" s="401"/>
      <c r="G11" s="401"/>
      <c r="H11" s="402"/>
      <c r="I11" s="402"/>
      <c r="J11" s="402"/>
      <c r="K11" s="402"/>
      <c r="L11" s="403"/>
      <c r="M11" s="403"/>
      <c r="N11" s="403"/>
      <c r="O11" s="403"/>
      <c r="P11" s="403"/>
      <c r="Q11" s="404"/>
      <c r="R11" s="404"/>
      <c r="S11" s="404"/>
      <c r="T11" s="404"/>
      <c r="U11" s="404"/>
    </row>
    <row r="12" spans="1:22">
      <c r="A12" s="405"/>
      <c r="B12" s="405"/>
      <c r="C12" s="401"/>
      <c r="D12" s="401"/>
      <c r="E12" s="401"/>
      <c r="F12" s="401"/>
      <c r="G12" s="401"/>
      <c r="H12" s="402"/>
      <c r="I12" s="402"/>
      <c r="J12" s="402"/>
      <c r="K12" s="402"/>
      <c r="L12" s="403"/>
      <c r="M12" s="403"/>
      <c r="N12" s="403"/>
      <c r="O12" s="403"/>
      <c r="P12" s="403"/>
      <c r="Q12" s="404"/>
      <c r="R12" s="404"/>
      <c r="S12" s="404"/>
      <c r="T12" s="404"/>
      <c r="U12" s="404"/>
    </row>
    <row r="13" spans="1:22">
      <c r="A13" s="406" t="s">
        <v>323</v>
      </c>
      <c r="B13" s="406" t="s">
        <v>324</v>
      </c>
      <c r="C13" s="401">
        <f>C6*5+C7*15+C4*12+C5*15</f>
        <v>75.75</v>
      </c>
      <c r="D13" s="401">
        <f>D6*5+D7*15+D4*12+D5*15</f>
        <v>87.4</v>
      </c>
      <c r="E13" s="401">
        <f>E6*5+E7*15+E4*12+E5*15</f>
        <v>83</v>
      </c>
      <c r="F13" s="401">
        <f t="shared" ref="F13:U13" si="2">F6*5+F7*15+F4*12+F5*15</f>
        <v>100.65</v>
      </c>
      <c r="G13" s="401">
        <f>(G6*5+G7*15+G4*12+G5*15)+7.6</f>
        <v>86.35</v>
      </c>
      <c r="H13" s="402">
        <f t="shared" si="2"/>
        <v>75.75</v>
      </c>
      <c r="I13" s="402">
        <f t="shared" si="2"/>
        <v>78.75</v>
      </c>
      <c r="J13" s="402">
        <f t="shared" si="2"/>
        <v>75.75</v>
      </c>
      <c r="K13" s="402">
        <f t="shared" si="2"/>
        <v>78.75</v>
      </c>
      <c r="L13" s="403">
        <f t="shared" si="2"/>
        <v>63.75</v>
      </c>
      <c r="M13" s="403">
        <f t="shared" si="2"/>
        <v>75.75</v>
      </c>
      <c r="N13" s="403">
        <f t="shared" si="2"/>
        <v>78.75</v>
      </c>
      <c r="O13" s="403">
        <f t="shared" si="2"/>
        <v>75.75</v>
      </c>
      <c r="P13" s="403">
        <f t="shared" si="2"/>
        <v>78.75</v>
      </c>
      <c r="Q13" s="404">
        <f t="shared" si="2"/>
        <v>63.75</v>
      </c>
      <c r="R13" s="404">
        <f t="shared" si="2"/>
        <v>75.75</v>
      </c>
      <c r="S13" s="404">
        <f t="shared" si="2"/>
        <v>78.75</v>
      </c>
      <c r="T13" s="404">
        <f t="shared" si="2"/>
        <v>75.75</v>
      </c>
      <c r="U13" s="404">
        <f t="shared" si="2"/>
        <v>78.75</v>
      </c>
    </row>
    <row r="14" spans="1:22">
      <c r="A14" s="406" t="s">
        <v>325</v>
      </c>
      <c r="B14" s="406" t="s">
        <v>324</v>
      </c>
      <c r="C14" s="401">
        <f>C4*8+C6*1+C7*2+C9*7+C8*7+C10*7</f>
        <v>28.490000000000002</v>
      </c>
      <c r="D14" s="401">
        <f>D4*8+D6*1+D7*2+D9*7+D8*7+D10*7</f>
        <v>35.840000000000003</v>
      </c>
      <c r="E14" s="401">
        <f>E4*8+E6*1+E7*2+E9*7+E8*7+E10*7</f>
        <v>18.729999999999997</v>
      </c>
      <c r="F14" s="401">
        <f t="shared" ref="F14:U14" si="3">F4*8+F6*1+F7*2+F9*7+F8*7+F10*7</f>
        <v>39.29</v>
      </c>
      <c r="G14" s="401">
        <f t="shared" si="3"/>
        <v>8.5</v>
      </c>
      <c r="H14" s="402">
        <f t="shared" si="3"/>
        <v>16.5</v>
      </c>
      <c r="I14" s="402">
        <f t="shared" si="3"/>
        <v>8.5</v>
      </c>
      <c r="J14" s="402">
        <f t="shared" si="3"/>
        <v>16.5</v>
      </c>
      <c r="K14" s="402">
        <f t="shared" si="3"/>
        <v>8.5</v>
      </c>
      <c r="L14" s="403">
        <f t="shared" si="3"/>
        <v>8.5</v>
      </c>
      <c r="M14" s="403">
        <f t="shared" si="3"/>
        <v>16.5</v>
      </c>
      <c r="N14" s="403">
        <f t="shared" si="3"/>
        <v>8.5</v>
      </c>
      <c r="O14" s="403">
        <f t="shared" si="3"/>
        <v>16.5</v>
      </c>
      <c r="P14" s="403">
        <f t="shared" si="3"/>
        <v>8.5</v>
      </c>
      <c r="Q14" s="404">
        <f t="shared" si="3"/>
        <v>8.5</v>
      </c>
      <c r="R14" s="404">
        <f t="shared" si="3"/>
        <v>16.5</v>
      </c>
      <c r="S14" s="404">
        <f t="shared" si="3"/>
        <v>8.5</v>
      </c>
      <c r="T14" s="404">
        <f t="shared" si="3"/>
        <v>16.5</v>
      </c>
      <c r="U14" s="404">
        <f t="shared" si="3"/>
        <v>8.5</v>
      </c>
    </row>
    <row r="15" spans="1:22">
      <c r="A15" s="406" t="s">
        <v>326</v>
      </c>
      <c r="B15" s="406" t="s">
        <v>324</v>
      </c>
      <c r="C15" s="401">
        <f>C4*8+C8*3+C9*5+C10*10+C11*5</f>
        <v>20.3</v>
      </c>
      <c r="D15" s="401">
        <f t="shared" ref="D15:U15" si="4">D4*8+D8*3+D9*5+D10*10+D11*5</f>
        <v>20.149999999999999</v>
      </c>
      <c r="E15" s="401">
        <f>E4*8+E8*3+E9*5+E10*10+E11*5</f>
        <v>11.7</v>
      </c>
      <c r="F15" s="401">
        <f t="shared" si="4"/>
        <v>16.600000000000001</v>
      </c>
      <c r="G15" s="401">
        <f t="shared" si="4"/>
        <v>0</v>
      </c>
      <c r="H15" s="402">
        <f t="shared" si="4"/>
        <v>8</v>
      </c>
      <c r="I15" s="402">
        <f t="shared" si="4"/>
        <v>0</v>
      </c>
      <c r="J15" s="402">
        <f t="shared" si="4"/>
        <v>8</v>
      </c>
      <c r="K15" s="402">
        <f t="shared" si="4"/>
        <v>0</v>
      </c>
      <c r="L15" s="403">
        <f t="shared" si="4"/>
        <v>0</v>
      </c>
      <c r="M15" s="403">
        <f t="shared" si="4"/>
        <v>8</v>
      </c>
      <c r="N15" s="403">
        <f t="shared" si="4"/>
        <v>0</v>
      </c>
      <c r="O15" s="403">
        <f t="shared" si="4"/>
        <v>8</v>
      </c>
      <c r="P15" s="403">
        <f t="shared" si="4"/>
        <v>0</v>
      </c>
      <c r="Q15" s="404">
        <f t="shared" si="4"/>
        <v>0</v>
      </c>
      <c r="R15" s="404">
        <f t="shared" si="4"/>
        <v>8</v>
      </c>
      <c r="S15" s="404">
        <f t="shared" si="4"/>
        <v>0</v>
      </c>
      <c r="T15" s="404">
        <f t="shared" si="4"/>
        <v>8</v>
      </c>
      <c r="U15" s="404">
        <f t="shared" si="4"/>
        <v>0</v>
      </c>
    </row>
    <row r="16" spans="1:22">
      <c r="A16" s="406" t="s">
        <v>327</v>
      </c>
      <c r="B16" s="406" t="s">
        <v>328</v>
      </c>
      <c r="C16" s="401">
        <f>C13*4+C14*4+C15*9</f>
        <v>599.66000000000008</v>
      </c>
      <c r="D16" s="401">
        <f t="shared" ref="D16:U16" si="5">D13*4+D14*4+D15*9</f>
        <v>674.31000000000006</v>
      </c>
      <c r="E16" s="401">
        <f t="shared" si="5"/>
        <v>512.21999999999991</v>
      </c>
      <c r="F16" s="401">
        <f t="shared" si="5"/>
        <v>709.16</v>
      </c>
      <c r="G16" s="401">
        <f t="shared" si="5"/>
        <v>379.4</v>
      </c>
      <c r="H16" s="402">
        <f t="shared" si="5"/>
        <v>441</v>
      </c>
      <c r="I16" s="402">
        <f t="shared" si="5"/>
        <v>349</v>
      </c>
      <c r="J16" s="402">
        <f t="shared" si="5"/>
        <v>441</v>
      </c>
      <c r="K16" s="402">
        <f t="shared" si="5"/>
        <v>349</v>
      </c>
      <c r="L16" s="403">
        <f t="shared" si="5"/>
        <v>289</v>
      </c>
      <c r="M16" s="403">
        <f t="shared" si="5"/>
        <v>441</v>
      </c>
      <c r="N16" s="403">
        <f t="shared" si="5"/>
        <v>349</v>
      </c>
      <c r="O16" s="403">
        <f t="shared" si="5"/>
        <v>441</v>
      </c>
      <c r="P16" s="403">
        <f t="shared" si="5"/>
        <v>349</v>
      </c>
      <c r="Q16" s="404">
        <f t="shared" si="5"/>
        <v>289</v>
      </c>
      <c r="R16" s="404">
        <f t="shared" si="5"/>
        <v>441</v>
      </c>
      <c r="S16" s="404">
        <f t="shared" si="5"/>
        <v>349</v>
      </c>
      <c r="T16" s="404">
        <f t="shared" si="5"/>
        <v>441</v>
      </c>
      <c r="U16" s="404">
        <f t="shared" si="5"/>
        <v>349</v>
      </c>
    </row>
    <row r="17" spans="1:22">
      <c r="A17" s="406"/>
      <c r="B17" s="406"/>
      <c r="C17" s="401"/>
      <c r="D17" s="401"/>
      <c r="E17" s="401"/>
      <c r="F17" s="401"/>
      <c r="G17" s="401"/>
      <c r="H17" s="402"/>
      <c r="I17" s="402"/>
      <c r="J17" s="402"/>
      <c r="K17" s="402"/>
      <c r="L17" s="403"/>
      <c r="M17" s="403"/>
      <c r="N17" s="403"/>
      <c r="O17" s="403"/>
      <c r="P17" s="403"/>
      <c r="Q17" s="404"/>
      <c r="R17" s="404"/>
      <c r="S17" s="404"/>
      <c r="T17" s="404"/>
      <c r="U17" s="404"/>
    </row>
    <row r="18" spans="1:22">
      <c r="A18" s="406" t="s">
        <v>323</v>
      </c>
      <c r="B18" s="406" t="s">
        <v>329</v>
      </c>
      <c r="C18" s="407">
        <f>((C13*4)/C16)*100</f>
        <v>50.528632891972116</v>
      </c>
      <c r="D18" s="401">
        <f t="shared" ref="D18:T18" si="6">((D13*4)/D16)*100</f>
        <v>51.845590307128766</v>
      </c>
      <c r="E18" s="401">
        <f t="shared" si="6"/>
        <v>64.815899418218748</v>
      </c>
      <c r="F18" s="401">
        <f t="shared" si="6"/>
        <v>56.77139150544307</v>
      </c>
      <c r="G18" s="401">
        <f t="shared" si="6"/>
        <v>91.038481813389566</v>
      </c>
      <c r="H18" s="402">
        <f t="shared" si="6"/>
        <v>68.707482993197274</v>
      </c>
      <c r="I18" s="402">
        <f t="shared" si="6"/>
        <v>90.257879656160455</v>
      </c>
      <c r="J18" s="402">
        <f t="shared" si="6"/>
        <v>68.707482993197274</v>
      </c>
      <c r="K18" s="402">
        <f t="shared" si="6"/>
        <v>90.257879656160455</v>
      </c>
      <c r="L18" s="403">
        <f t="shared" si="6"/>
        <v>88.235294117647058</v>
      </c>
      <c r="M18" s="403">
        <f t="shared" si="6"/>
        <v>68.707482993197274</v>
      </c>
      <c r="N18" s="403">
        <f t="shared" si="6"/>
        <v>90.257879656160455</v>
      </c>
      <c r="O18" s="403">
        <f t="shared" si="6"/>
        <v>68.707482993197274</v>
      </c>
      <c r="P18" s="403">
        <f t="shared" si="6"/>
        <v>90.257879656160455</v>
      </c>
      <c r="Q18" s="404">
        <f t="shared" si="6"/>
        <v>88.235294117647058</v>
      </c>
      <c r="R18" s="404">
        <f t="shared" si="6"/>
        <v>68.707482993197274</v>
      </c>
      <c r="S18" s="404">
        <f t="shared" si="6"/>
        <v>90.257879656160455</v>
      </c>
      <c r="T18" s="404">
        <f t="shared" si="6"/>
        <v>68.707482993197274</v>
      </c>
      <c r="U18" s="404">
        <f>((U13*4)/U16)*100</f>
        <v>90.257879656160455</v>
      </c>
    </row>
    <row r="19" spans="1:22">
      <c r="A19" s="406" t="s">
        <v>325</v>
      </c>
      <c r="B19" s="406" t="s">
        <v>329</v>
      </c>
      <c r="C19" s="401">
        <f>((C14*4)/C16)*100</f>
        <v>19.004102324650635</v>
      </c>
      <c r="D19" s="407">
        <f t="shared" ref="D19:U19" si="7">((D14*4)/D16)*100</f>
        <v>21.26025121976539</v>
      </c>
      <c r="E19" s="401">
        <f t="shared" si="7"/>
        <v>14.62652766389442</v>
      </c>
      <c r="F19" s="401">
        <f t="shared" si="7"/>
        <v>22.16143042472785</v>
      </c>
      <c r="G19" s="401">
        <f t="shared" si="7"/>
        <v>8.961518186610439</v>
      </c>
      <c r="H19" s="402">
        <f t="shared" si="7"/>
        <v>14.965986394557824</v>
      </c>
      <c r="I19" s="402">
        <f t="shared" si="7"/>
        <v>9.7421203438395416</v>
      </c>
      <c r="J19" s="402">
        <f t="shared" si="7"/>
        <v>14.965986394557824</v>
      </c>
      <c r="K19" s="402">
        <f t="shared" si="7"/>
        <v>9.7421203438395416</v>
      </c>
      <c r="L19" s="403">
        <f t="shared" si="7"/>
        <v>11.76470588235294</v>
      </c>
      <c r="M19" s="403">
        <f t="shared" si="7"/>
        <v>14.965986394557824</v>
      </c>
      <c r="N19" s="403">
        <f t="shared" si="7"/>
        <v>9.7421203438395416</v>
      </c>
      <c r="O19" s="403">
        <f t="shared" si="7"/>
        <v>14.965986394557824</v>
      </c>
      <c r="P19" s="403">
        <f t="shared" si="7"/>
        <v>9.7421203438395416</v>
      </c>
      <c r="Q19" s="404">
        <f t="shared" si="7"/>
        <v>11.76470588235294</v>
      </c>
      <c r="R19" s="404">
        <f t="shared" si="7"/>
        <v>14.965986394557824</v>
      </c>
      <c r="S19" s="404">
        <f t="shared" si="7"/>
        <v>9.7421203438395416</v>
      </c>
      <c r="T19" s="404">
        <f t="shared" si="7"/>
        <v>14.965986394557824</v>
      </c>
      <c r="U19" s="404">
        <f t="shared" si="7"/>
        <v>9.7421203438395416</v>
      </c>
    </row>
    <row r="20" spans="1:22">
      <c r="A20" s="406" t="s">
        <v>326</v>
      </c>
      <c r="B20" s="406" t="s">
        <v>329</v>
      </c>
      <c r="C20" s="407">
        <f>((C15*9)/C16)*100</f>
        <v>30.467264783377246</v>
      </c>
      <c r="D20" s="401">
        <f t="shared" ref="D20:U20" si="8">((D15*9)/D16)*100</f>
        <v>26.89415847310584</v>
      </c>
      <c r="E20" s="401">
        <f t="shared" si="8"/>
        <v>20.557572917886848</v>
      </c>
      <c r="F20" s="401">
        <f t="shared" si="8"/>
        <v>21.067178069829097</v>
      </c>
      <c r="G20" s="401">
        <f t="shared" si="8"/>
        <v>0</v>
      </c>
      <c r="H20" s="402">
        <f t="shared" si="8"/>
        <v>16.326530612244898</v>
      </c>
      <c r="I20" s="402">
        <f t="shared" si="8"/>
        <v>0</v>
      </c>
      <c r="J20" s="402">
        <f t="shared" si="8"/>
        <v>16.326530612244898</v>
      </c>
      <c r="K20" s="402">
        <f t="shared" si="8"/>
        <v>0</v>
      </c>
      <c r="L20" s="403">
        <f t="shared" si="8"/>
        <v>0</v>
      </c>
      <c r="M20" s="403">
        <f t="shared" si="8"/>
        <v>16.326530612244898</v>
      </c>
      <c r="N20" s="403">
        <f t="shared" si="8"/>
        <v>0</v>
      </c>
      <c r="O20" s="403">
        <f t="shared" si="8"/>
        <v>16.326530612244898</v>
      </c>
      <c r="P20" s="403">
        <f t="shared" si="8"/>
        <v>0</v>
      </c>
      <c r="Q20" s="404">
        <f t="shared" si="8"/>
        <v>0</v>
      </c>
      <c r="R20" s="404">
        <f t="shared" si="8"/>
        <v>16.326530612244898</v>
      </c>
      <c r="S20" s="404">
        <f t="shared" si="8"/>
        <v>0</v>
      </c>
      <c r="T20" s="404">
        <f t="shared" si="8"/>
        <v>16.326530612244898</v>
      </c>
      <c r="U20" s="404">
        <f t="shared" si="8"/>
        <v>0</v>
      </c>
    </row>
    <row r="21" spans="1:22">
      <c r="A21" s="408"/>
      <c r="C21" s="409"/>
      <c r="D21" s="409"/>
      <c r="E21" s="409" t="s">
        <v>293</v>
      </c>
      <c r="H21" s="409" t="s">
        <v>100</v>
      </c>
      <c r="J21" s="410" t="s">
        <v>330</v>
      </c>
      <c r="K21" s="410"/>
      <c r="L21" s="410" t="s">
        <v>101</v>
      </c>
      <c r="M21" s="410"/>
      <c r="N21" s="410"/>
      <c r="O21" s="410"/>
      <c r="P21" s="410"/>
      <c r="Q21" s="410" t="s">
        <v>148</v>
      </c>
      <c r="R21" s="410"/>
      <c r="S21" s="410" t="s">
        <v>331</v>
      </c>
    </row>
    <row r="23" spans="1:22" ht="19.5">
      <c r="A23" s="411" t="s">
        <v>332</v>
      </c>
    </row>
    <row r="24" spans="1:22">
      <c r="A24" s="670" t="s">
        <v>309</v>
      </c>
      <c r="B24" s="671"/>
      <c r="C24" s="663" t="s">
        <v>310</v>
      </c>
      <c r="D24" s="663"/>
      <c r="E24" s="663"/>
      <c r="F24" s="663"/>
      <c r="G24" s="663"/>
      <c r="H24" s="663" t="s">
        <v>311</v>
      </c>
      <c r="I24" s="663"/>
      <c r="J24" s="663"/>
      <c r="K24" s="663"/>
      <c r="L24" s="663" t="s">
        <v>312</v>
      </c>
      <c r="M24" s="663"/>
      <c r="N24" s="663"/>
      <c r="O24" s="663"/>
      <c r="P24" s="663"/>
      <c r="Q24" s="663" t="s">
        <v>313</v>
      </c>
      <c r="R24" s="663"/>
      <c r="S24" s="663"/>
      <c r="T24" s="663"/>
      <c r="U24" s="663"/>
    </row>
    <row r="25" spans="1:22">
      <c r="A25" s="664" t="s">
        <v>314</v>
      </c>
      <c r="B25" s="665"/>
      <c r="C25" s="397">
        <v>45446</v>
      </c>
      <c r="D25" s="397">
        <v>45447</v>
      </c>
      <c r="E25" s="397">
        <v>45448</v>
      </c>
      <c r="F25" s="397">
        <v>45449</v>
      </c>
      <c r="G25" s="397">
        <v>45450</v>
      </c>
      <c r="H25" s="398">
        <v>45454</v>
      </c>
      <c r="I25" s="398">
        <v>45455</v>
      </c>
      <c r="J25" s="398">
        <v>45456</v>
      </c>
      <c r="K25" s="398">
        <v>45457</v>
      </c>
      <c r="L25" s="399">
        <v>45460</v>
      </c>
      <c r="M25" s="399">
        <v>45461</v>
      </c>
      <c r="N25" s="399">
        <v>45462</v>
      </c>
      <c r="O25" s="399">
        <v>45463</v>
      </c>
      <c r="P25" s="399">
        <v>45464</v>
      </c>
      <c r="Q25" s="400">
        <v>45467</v>
      </c>
      <c r="R25" s="400">
        <v>45468</v>
      </c>
      <c r="S25" s="400">
        <v>45469</v>
      </c>
      <c r="T25" s="400">
        <v>45470</v>
      </c>
      <c r="U25" s="400">
        <v>45471</v>
      </c>
    </row>
    <row r="26" spans="1:22">
      <c r="A26" s="666" t="s">
        <v>315</v>
      </c>
      <c r="B26" s="667"/>
      <c r="C26" s="401"/>
      <c r="D26" s="401">
        <v>1</v>
      </c>
      <c r="E26" s="401"/>
      <c r="F26" s="401">
        <v>1</v>
      </c>
      <c r="G26" s="401"/>
      <c r="H26" s="402">
        <v>1</v>
      </c>
      <c r="I26" s="402"/>
      <c r="J26" s="402">
        <v>1</v>
      </c>
      <c r="K26" s="402"/>
      <c r="L26" s="403"/>
      <c r="M26" s="403">
        <v>1</v>
      </c>
      <c r="N26" s="403"/>
      <c r="O26" s="403">
        <v>1</v>
      </c>
      <c r="P26" s="403"/>
      <c r="Q26" s="404"/>
      <c r="R26" s="404">
        <v>1</v>
      </c>
      <c r="S26" s="404"/>
      <c r="T26" s="404">
        <v>1</v>
      </c>
      <c r="U26" s="404"/>
      <c r="V26">
        <f t="shared" ref="V26:V33" si="9">AVERAGE(C26:U26)</f>
        <v>1</v>
      </c>
    </row>
    <row r="27" spans="1:22">
      <c r="A27" s="666" t="s">
        <v>316</v>
      </c>
      <c r="B27" s="667"/>
      <c r="C27" s="401"/>
      <c r="D27" s="401"/>
      <c r="E27" s="401">
        <v>1</v>
      </c>
      <c r="F27" s="401"/>
      <c r="G27" s="401">
        <v>1</v>
      </c>
      <c r="H27" s="402"/>
      <c r="I27" s="402">
        <v>1</v>
      </c>
      <c r="J27" s="402"/>
      <c r="K27" s="402">
        <v>1</v>
      </c>
      <c r="L27" s="403"/>
      <c r="M27" s="403"/>
      <c r="N27" s="403">
        <v>1</v>
      </c>
      <c r="O27" s="403"/>
      <c r="P27" s="403">
        <v>1</v>
      </c>
      <c r="Q27" s="404"/>
      <c r="R27" s="404"/>
      <c r="S27" s="404">
        <v>1</v>
      </c>
      <c r="T27" s="404"/>
      <c r="U27" s="404">
        <v>1</v>
      </c>
      <c r="V27">
        <f t="shared" si="9"/>
        <v>1</v>
      </c>
    </row>
    <row r="28" spans="1:22">
      <c r="A28" s="666" t="s">
        <v>317</v>
      </c>
      <c r="B28" s="667"/>
      <c r="C28" s="401">
        <f>0.2+0.38+0.68+0.8</f>
        <v>2.0600000000000005</v>
      </c>
      <c r="D28" s="401">
        <f>0.4+0.6+0.68+0.5</f>
        <v>2.1800000000000002</v>
      </c>
      <c r="E28" s="401">
        <f>0.02+0.6+0.68</f>
        <v>1.3</v>
      </c>
      <c r="F28" s="401">
        <f>0.23+0.23+0.5+0.68</f>
        <v>1.6400000000000001</v>
      </c>
      <c r="G28" s="401"/>
      <c r="H28" s="402"/>
      <c r="I28" s="402"/>
      <c r="J28" s="402"/>
      <c r="K28" s="402"/>
      <c r="L28" s="403"/>
      <c r="M28" s="403"/>
      <c r="N28" s="403"/>
      <c r="O28" s="403"/>
      <c r="P28" s="403"/>
      <c r="Q28" s="404"/>
      <c r="R28" s="404"/>
      <c r="S28" s="404"/>
      <c r="T28" s="404"/>
      <c r="U28" s="404"/>
      <c r="V28">
        <f t="shared" si="9"/>
        <v>1.7949999999999999</v>
      </c>
    </row>
    <row r="29" spans="1:22">
      <c r="A29" s="666" t="s">
        <v>318</v>
      </c>
      <c r="B29" s="667"/>
      <c r="C29" s="401">
        <f>4.25+0.33</f>
        <v>4.58</v>
      </c>
      <c r="D29" s="401">
        <f>4.25</f>
        <v>4.25</v>
      </c>
      <c r="E29" s="401">
        <f t="shared" ref="E29" si="10">4.25</f>
        <v>4.25</v>
      </c>
      <c r="F29" s="401">
        <f>4.25+1</f>
        <v>5.25</v>
      </c>
      <c r="G29" s="401"/>
      <c r="H29" s="402"/>
      <c r="I29" s="402"/>
      <c r="J29" s="402"/>
      <c r="K29" s="402"/>
      <c r="L29" s="403"/>
      <c r="M29" s="403"/>
      <c r="N29" s="403"/>
      <c r="O29" s="403"/>
      <c r="P29" s="403"/>
      <c r="Q29" s="404"/>
      <c r="R29" s="404"/>
      <c r="S29" s="404"/>
      <c r="T29" s="404"/>
      <c r="U29" s="404"/>
      <c r="V29">
        <f t="shared" si="9"/>
        <v>4.5824999999999996</v>
      </c>
    </row>
    <row r="30" spans="1:22">
      <c r="A30" s="666" t="s">
        <v>319</v>
      </c>
      <c r="B30" s="667"/>
      <c r="C30" s="401"/>
      <c r="D30" s="401">
        <f>0.5</f>
        <v>0.5</v>
      </c>
      <c r="E30" s="401">
        <f>0.3</f>
        <v>0.3</v>
      </c>
      <c r="F30" s="401">
        <f>2.4+0.1</f>
        <v>2.5</v>
      </c>
      <c r="G30" s="401"/>
      <c r="H30" s="402"/>
      <c r="I30" s="402"/>
      <c r="J30" s="402"/>
      <c r="K30" s="402"/>
      <c r="L30" s="403"/>
      <c r="M30" s="403"/>
      <c r="N30" s="403"/>
      <c r="O30" s="403"/>
      <c r="P30" s="403"/>
      <c r="Q30" s="404"/>
      <c r="R30" s="404"/>
      <c r="S30" s="404"/>
      <c r="T30" s="404"/>
      <c r="U30" s="404"/>
      <c r="V30">
        <f t="shared" si="9"/>
        <v>1.0999999999999999</v>
      </c>
    </row>
    <row r="31" spans="1:22">
      <c r="A31" s="666" t="s">
        <v>320</v>
      </c>
      <c r="B31" s="667"/>
      <c r="C31" s="401">
        <f>2.14+0.32</f>
        <v>2.46</v>
      </c>
      <c r="D31" s="401">
        <f>2+0.25</f>
        <v>2.25</v>
      </c>
      <c r="E31" s="401">
        <f>1.14</f>
        <v>1.1399999999999999</v>
      </c>
      <c r="F31" s="401">
        <f>0.5+0.22</f>
        <v>0.72</v>
      </c>
      <c r="G31" s="401"/>
      <c r="H31" s="402"/>
      <c r="I31" s="402"/>
      <c r="J31" s="402"/>
      <c r="K31" s="402"/>
      <c r="L31" s="403"/>
      <c r="M31" s="403"/>
      <c r="N31" s="403"/>
      <c r="O31" s="403"/>
      <c r="P31" s="403"/>
      <c r="Q31" s="404"/>
      <c r="R31" s="404"/>
      <c r="S31" s="404"/>
      <c r="T31" s="404"/>
      <c r="U31" s="404"/>
      <c r="V31">
        <f t="shared" si="9"/>
        <v>1.6424999999999998</v>
      </c>
    </row>
    <row r="32" spans="1:22">
      <c r="A32" s="666" t="s">
        <v>321</v>
      </c>
      <c r="B32" s="667"/>
      <c r="C32" s="401"/>
      <c r="D32" s="401"/>
      <c r="E32" s="401"/>
      <c r="F32" s="401"/>
      <c r="G32" s="401"/>
      <c r="H32" s="402"/>
      <c r="I32" s="402"/>
      <c r="J32" s="402"/>
      <c r="K32" s="402"/>
      <c r="L32" s="403"/>
      <c r="M32" s="403"/>
      <c r="N32" s="403"/>
      <c r="O32" s="403"/>
      <c r="P32" s="403"/>
      <c r="Q32" s="404"/>
      <c r="R32" s="404"/>
      <c r="S32" s="404"/>
      <c r="T32" s="404"/>
      <c r="U32" s="404"/>
      <c r="V32" t="e">
        <f t="shared" si="9"/>
        <v>#DIV/0!</v>
      </c>
    </row>
    <row r="33" spans="1:22">
      <c r="A33" s="666" t="s">
        <v>322</v>
      </c>
      <c r="B33" s="667"/>
      <c r="C33" s="401">
        <v>1.5</v>
      </c>
      <c r="D33" s="401"/>
      <c r="E33" s="401">
        <v>1</v>
      </c>
      <c r="F33" s="401"/>
      <c r="G33" s="401"/>
      <c r="H33" s="402"/>
      <c r="I33" s="402"/>
      <c r="J33" s="402"/>
      <c r="K33" s="402"/>
      <c r="L33" s="403"/>
      <c r="M33" s="403"/>
      <c r="N33" s="403"/>
      <c r="O33" s="403"/>
      <c r="P33" s="403"/>
      <c r="Q33" s="404"/>
      <c r="R33" s="404"/>
      <c r="S33" s="404"/>
      <c r="T33" s="404"/>
      <c r="U33" s="404"/>
      <c r="V33">
        <f t="shared" si="9"/>
        <v>1.25</v>
      </c>
    </row>
    <row r="34" spans="1:22">
      <c r="A34" s="405"/>
      <c r="B34" s="405"/>
      <c r="C34" s="401"/>
      <c r="D34" s="401"/>
      <c r="E34" s="401"/>
      <c r="F34" s="401"/>
      <c r="G34" s="401"/>
      <c r="H34" s="402"/>
      <c r="I34" s="402"/>
      <c r="J34" s="402"/>
      <c r="K34" s="402"/>
      <c r="L34" s="403"/>
      <c r="M34" s="403"/>
      <c r="N34" s="403"/>
      <c r="O34" s="403"/>
      <c r="P34" s="403"/>
      <c r="Q34" s="404"/>
      <c r="R34" s="404"/>
      <c r="S34" s="404"/>
      <c r="T34" s="404"/>
      <c r="U34" s="404"/>
      <c r="V34" t="e">
        <f>SUM(V30:V32)</f>
        <v>#DIV/0!</v>
      </c>
    </row>
    <row r="35" spans="1:22">
      <c r="A35" s="406" t="s">
        <v>323</v>
      </c>
      <c r="B35" s="406" t="s">
        <v>324</v>
      </c>
      <c r="C35" s="401">
        <f>(C28*5+C29*15+C26*12+C27*15)+5</f>
        <v>84</v>
      </c>
      <c r="D35" s="401">
        <f t="shared" ref="D35" si="11">D28*5+D29*15+D26*12+D27*15</f>
        <v>86.65</v>
      </c>
      <c r="E35" s="401">
        <f>E28*5+E29*15+E26*12+E27*15</f>
        <v>85.25</v>
      </c>
      <c r="F35" s="401">
        <f t="shared" ref="F35:U35" si="12">F28*5+F29*15+F26*12+F27*15</f>
        <v>98.95</v>
      </c>
      <c r="G35" s="401">
        <f t="shared" si="12"/>
        <v>15</v>
      </c>
      <c r="H35" s="402">
        <f t="shared" si="12"/>
        <v>12</v>
      </c>
      <c r="I35" s="402">
        <f t="shared" si="12"/>
        <v>15</v>
      </c>
      <c r="J35" s="402">
        <f t="shared" si="12"/>
        <v>12</v>
      </c>
      <c r="K35" s="402">
        <f t="shared" si="12"/>
        <v>15</v>
      </c>
      <c r="L35" s="403">
        <f t="shared" si="12"/>
        <v>0</v>
      </c>
      <c r="M35" s="403">
        <f t="shared" si="12"/>
        <v>12</v>
      </c>
      <c r="N35" s="403">
        <f t="shared" si="12"/>
        <v>15</v>
      </c>
      <c r="O35" s="403">
        <f t="shared" si="12"/>
        <v>12</v>
      </c>
      <c r="P35" s="403">
        <f t="shared" si="12"/>
        <v>15</v>
      </c>
      <c r="Q35" s="404">
        <f>(Q28*5+Q29*15+Q26*12+Q27*15)+20</f>
        <v>20</v>
      </c>
      <c r="R35" s="404">
        <f t="shared" si="12"/>
        <v>12</v>
      </c>
      <c r="S35" s="404">
        <f t="shared" si="12"/>
        <v>15</v>
      </c>
      <c r="T35" s="404">
        <f t="shared" si="12"/>
        <v>12</v>
      </c>
      <c r="U35" s="404">
        <f t="shared" si="12"/>
        <v>15</v>
      </c>
    </row>
    <row r="36" spans="1:22">
      <c r="A36" s="406" t="s">
        <v>325</v>
      </c>
      <c r="B36" s="406" t="s">
        <v>324</v>
      </c>
      <c r="C36" s="401">
        <f>C26*8+C28*1+C29*2+C31*7+C30*7+C32*7</f>
        <v>28.439999999999998</v>
      </c>
      <c r="D36" s="401">
        <f t="shared" ref="D36" si="13">D26*8+D28*1+D29*2+D31*7+D30*7+D32*7</f>
        <v>37.93</v>
      </c>
      <c r="E36" s="401">
        <f>E26*8+E28*1+E29*2+E31*7+E30*7+E32*7</f>
        <v>19.880000000000003</v>
      </c>
      <c r="F36" s="401">
        <f t="shared" ref="F36:U36" si="14">F26*8+F28*1+F29*2+F31*7+F30*7+F32*7</f>
        <v>42.68</v>
      </c>
      <c r="G36" s="401">
        <f t="shared" si="14"/>
        <v>0</v>
      </c>
      <c r="H36" s="402">
        <f t="shared" si="14"/>
        <v>8</v>
      </c>
      <c r="I36" s="402">
        <f t="shared" si="14"/>
        <v>0</v>
      </c>
      <c r="J36" s="402">
        <f t="shared" si="14"/>
        <v>8</v>
      </c>
      <c r="K36" s="402">
        <f t="shared" si="14"/>
        <v>0</v>
      </c>
      <c r="L36" s="403">
        <f t="shared" si="14"/>
        <v>0</v>
      </c>
      <c r="M36" s="403">
        <f t="shared" si="14"/>
        <v>8</v>
      </c>
      <c r="N36" s="403">
        <f t="shared" si="14"/>
        <v>0</v>
      </c>
      <c r="O36" s="403">
        <f t="shared" si="14"/>
        <v>8</v>
      </c>
      <c r="P36" s="403">
        <f t="shared" si="14"/>
        <v>0</v>
      </c>
      <c r="Q36" s="404">
        <f t="shared" si="14"/>
        <v>0</v>
      </c>
      <c r="R36" s="404">
        <f t="shared" si="14"/>
        <v>8</v>
      </c>
      <c r="S36" s="404">
        <f t="shared" si="14"/>
        <v>0</v>
      </c>
      <c r="T36" s="404">
        <f t="shared" si="14"/>
        <v>8</v>
      </c>
      <c r="U36" s="404">
        <f t="shared" si="14"/>
        <v>0</v>
      </c>
    </row>
    <row r="37" spans="1:22">
      <c r="A37" s="406" t="s">
        <v>326</v>
      </c>
      <c r="B37" s="406" t="s">
        <v>324</v>
      </c>
      <c r="C37" s="401">
        <f>C26*8+C30*3+C31*5+C32*10+C33*5</f>
        <v>19.8</v>
      </c>
      <c r="D37" s="401">
        <f t="shared" ref="D37" si="15">D26*8+D30*3+D31*5+D32*10+D33*5</f>
        <v>20.75</v>
      </c>
      <c r="E37" s="401">
        <f>E26*8+E30*3+E31*5+E32*10+E33*5</f>
        <v>11.6</v>
      </c>
      <c r="F37" s="401">
        <f t="shared" ref="F37:U37" si="16">F26*8+F30*3+F31*5+F32*10+F33*5</f>
        <v>19.100000000000001</v>
      </c>
      <c r="G37" s="401">
        <f t="shared" si="16"/>
        <v>0</v>
      </c>
      <c r="H37" s="402">
        <f t="shared" si="16"/>
        <v>8</v>
      </c>
      <c r="I37" s="402">
        <f t="shared" si="16"/>
        <v>0</v>
      </c>
      <c r="J37" s="402">
        <f t="shared" si="16"/>
        <v>8</v>
      </c>
      <c r="K37" s="402">
        <f t="shared" si="16"/>
        <v>0</v>
      </c>
      <c r="L37" s="403">
        <f t="shared" si="16"/>
        <v>0</v>
      </c>
      <c r="M37" s="403">
        <f>M26*8+M30*3+M31*5+M32*10+M33*5</f>
        <v>8</v>
      </c>
      <c r="N37" s="403">
        <f t="shared" si="16"/>
        <v>0</v>
      </c>
      <c r="O37" s="403">
        <f t="shared" si="16"/>
        <v>8</v>
      </c>
      <c r="P37" s="403">
        <f>P26*8+P30*3+P31*5+P32*10+P33*5</f>
        <v>0</v>
      </c>
      <c r="Q37" s="404">
        <f t="shared" si="16"/>
        <v>0</v>
      </c>
      <c r="R37" s="404">
        <f t="shared" si="16"/>
        <v>8</v>
      </c>
      <c r="S37" s="404">
        <f t="shared" si="16"/>
        <v>0</v>
      </c>
      <c r="T37" s="404">
        <f t="shared" si="16"/>
        <v>8</v>
      </c>
      <c r="U37" s="404">
        <f t="shared" si="16"/>
        <v>0</v>
      </c>
    </row>
    <row r="38" spans="1:22">
      <c r="A38" s="406" t="s">
        <v>327</v>
      </c>
      <c r="B38" s="406" t="s">
        <v>328</v>
      </c>
      <c r="C38" s="401">
        <f>C35*4+C36*4+C37*9</f>
        <v>627.96</v>
      </c>
      <c r="D38" s="401">
        <f t="shared" ref="D38:U38" si="17">D35*4+D36*4+D37*9</f>
        <v>685.07</v>
      </c>
      <c r="E38" s="401">
        <f t="shared" si="17"/>
        <v>524.91999999999996</v>
      </c>
      <c r="F38" s="401">
        <f t="shared" si="17"/>
        <v>738.42</v>
      </c>
      <c r="G38" s="401">
        <f t="shared" si="17"/>
        <v>60</v>
      </c>
      <c r="H38" s="402">
        <f t="shared" si="17"/>
        <v>152</v>
      </c>
      <c r="I38" s="402">
        <f t="shared" si="17"/>
        <v>60</v>
      </c>
      <c r="J38" s="402">
        <f t="shared" si="17"/>
        <v>152</v>
      </c>
      <c r="K38" s="402">
        <f t="shared" si="17"/>
        <v>60</v>
      </c>
      <c r="L38" s="403">
        <f t="shared" si="17"/>
        <v>0</v>
      </c>
      <c r="M38" s="403">
        <f t="shared" si="17"/>
        <v>152</v>
      </c>
      <c r="N38" s="403">
        <f t="shared" si="17"/>
        <v>60</v>
      </c>
      <c r="O38" s="403">
        <f t="shared" si="17"/>
        <v>152</v>
      </c>
      <c r="P38" s="403">
        <f t="shared" si="17"/>
        <v>60</v>
      </c>
      <c r="Q38" s="404">
        <f t="shared" si="17"/>
        <v>80</v>
      </c>
      <c r="R38" s="404">
        <f t="shared" si="17"/>
        <v>152</v>
      </c>
      <c r="S38" s="404">
        <f t="shared" si="17"/>
        <v>60</v>
      </c>
      <c r="T38" s="404">
        <f t="shared" si="17"/>
        <v>152</v>
      </c>
      <c r="U38" s="404">
        <f t="shared" si="17"/>
        <v>60</v>
      </c>
    </row>
    <row r="39" spans="1:22">
      <c r="A39" s="406"/>
      <c r="B39" s="406"/>
      <c r="C39" s="401"/>
      <c r="D39" s="401"/>
      <c r="E39" s="401"/>
      <c r="F39" s="401"/>
      <c r="G39" s="401"/>
      <c r="H39" s="402"/>
      <c r="I39" s="402"/>
      <c r="J39" s="402"/>
      <c r="K39" s="402"/>
      <c r="L39" s="403"/>
      <c r="M39" s="403"/>
      <c r="N39" s="403"/>
      <c r="O39" s="403"/>
      <c r="P39" s="403"/>
      <c r="Q39" s="404"/>
      <c r="R39" s="404"/>
      <c r="S39" s="404"/>
      <c r="T39" s="404"/>
      <c r="U39" s="404"/>
    </row>
    <row r="40" spans="1:22">
      <c r="A40" s="406" t="s">
        <v>323</v>
      </c>
      <c r="B40" s="406" t="s">
        <v>329</v>
      </c>
      <c r="C40" s="407">
        <f>((C35*4)/C38)*100</f>
        <v>53.50659277660997</v>
      </c>
      <c r="D40" s="401">
        <f t="shared" ref="D40:T40" si="18">((D35*4)/D38)*100</f>
        <v>50.593370020581844</v>
      </c>
      <c r="E40" s="401">
        <f t="shared" si="18"/>
        <v>64.962279966471087</v>
      </c>
      <c r="F40" s="401">
        <f t="shared" si="18"/>
        <v>53.600931719075874</v>
      </c>
      <c r="G40" s="401">
        <f t="shared" si="18"/>
        <v>100</v>
      </c>
      <c r="H40" s="402">
        <f t="shared" si="18"/>
        <v>31.578947368421051</v>
      </c>
      <c r="I40" s="402">
        <f t="shared" si="18"/>
        <v>100</v>
      </c>
      <c r="J40" s="402">
        <f t="shared" si="18"/>
        <v>31.578947368421051</v>
      </c>
      <c r="K40" s="402">
        <f t="shared" si="18"/>
        <v>100</v>
      </c>
      <c r="L40" s="403" t="e">
        <f t="shared" si="18"/>
        <v>#DIV/0!</v>
      </c>
      <c r="M40" s="403">
        <f t="shared" si="18"/>
        <v>31.578947368421051</v>
      </c>
      <c r="N40" s="403">
        <f t="shared" si="18"/>
        <v>100</v>
      </c>
      <c r="O40" s="403">
        <f t="shared" si="18"/>
        <v>31.578947368421051</v>
      </c>
      <c r="P40" s="403">
        <f t="shared" si="18"/>
        <v>100</v>
      </c>
      <c r="Q40" s="404">
        <f t="shared" si="18"/>
        <v>100</v>
      </c>
      <c r="R40" s="404">
        <f t="shared" si="18"/>
        <v>31.578947368421051</v>
      </c>
      <c r="S40" s="404">
        <f t="shared" si="18"/>
        <v>100</v>
      </c>
      <c r="T40" s="404">
        <f t="shared" si="18"/>
        <v>31.578947368421051</v>
      </c>
      <c r="U40" s="404">
        <f>((U35*4)/U38)*100</f>
        <v>100</v>
      </c>
    </row>
    <row r="41" spans="1:22">
      <c r="A41" s="406" t="s">
        <v>325</v>
      </c>
      <c r="B41" s="406" t="s">
        <v>329</v>
      </c>
      <c r="C41" s="401">
        <f>((C36*4)/C38)*100</f>
        <v>18.115803554366515</v>
      </c>
      <c r="D41" s="407">
        <f t="shared" ref="D41:U41" si="19">((D36*4)/D38)*100</f>
        <v>22.14664194899791</v>
      </c>
      <c r="E41" s="401">
        <f t="shared" si="19"/>
        <v>15.148975081917248</v>
      </c>
      <c r="F41" s="401">
        <f t="shared" si="19"/>
        <v>23.119633812735302</v>
      </c>
      <c r="G41" s="401">
        <f t="shared" si="19"/>
        <v>0</v>
      </c>
      <c r="H41" s="402">
        <f t="shared" si="19"/>
        <v>21.052631578947366</v>
      </c>
      <c r="I41" s="402">
        <f t="shared" si="19"/>
        <v>0</v>
      </c>
      <c r="J41" s="402">
        <f t="shared" si="19"/>
        <v>21.052631578947366</v>
      </c>
      <c r="K41" s="402">
        <f t="shared" si="19"/>
        <v>0</v>
      </c>
      <c r="L41" s="403" t="e">
        <f t="shared" si="19"/>
        <v>#DIV/0!</v>
      </c>
      <c r="M41" s="403">
        <f t="shared" si="19"/>
        <v>21.052631578947366</v>
      </c>
      <c r="N41" s="403">
        <f t="shared" si="19"/>
        <v>0</v>
      </c>
      <c r="O41" s="403">
        <f t="shared" si="19"/>
        <v>21.052631578947366</v>
      </c>
      <c r="P41" s="403">
        <f t="shared" si="19"/>
        <v>0</v>
      </c>
      <c r="Q41" s="404">
        <f t="shared" si="19"/>
        <v>0</v>
      </c>
      <c r="R41" s="404">
        <f t="shared" si="19"/>
        <v>21.052631578947366</v>
      </c>
      <c r="S41" s="404">
        <f t="shared" si="19"/>
        <v>0</v>
      </c>
      <c r="T41" s="404">
        <f t="shared" si="19"/>
        <v>21.052631578947366</v>
      </c>
      <c r="U41" s="404">
        <f t="shared" si="19"/>
        <v>0</v>
      </c>
    </row>
    <row r="42" spans="1:22">
      <c r="A42" s="406" t="s">
        <v>326</v>
      </c>
      <c r="B42" s="406" t="s">
        <v>329</v>
      </c>
      <c r="C42" s="407">
        <f>((C37*9)/C38)*100</f>
        <v>28.377603669023504</v>
      </c>
      <c r="D42" s="401">
        <f t="shared" ref="D42:U42" si="20">((D37*9)/D38)*100</f>
        <v>27.259988030420246</v>
      </c>
      <c r="E42" s="401">
        <f t="shared" si="20"/>
        <v>19.888744951611674</v>
      </c>
      <c r="F42" s="401">
        <f t="shared" si="20"/>
        <v>23.279434468188835</v>
      </c>
      <c r="G42" s="401">
        <f t="shared" si="20"/>
        <v>0</v>
      </c>
      <c r="H42" s="402">
        <f t="shared" si="20"/>
        <v>47.368421052631575</v>
      </c>
      <c r="I42" s="402">
        <f t="shared" si="20"/>
        <v>0</v>
      </c>
      <c r="J42" s="402">
        <f t="shared" si="20"/>
        <v>47.368421052631575</v>
      </c>
      <c r="K42" s="402">
        <f t="shared" si="20"/>
        <v>0</v>
      </c>
      <c r="L42" s="403" t="e">
        <f t="shared" si="20"/>
        <v>#DIV/0!</v>
      </c>
      <c r="M42" s="403">
        <f t="shared" si="20"/>
        <v>47.368421052631575</v>
      </c>
      <c r="N42" s="403">
        <f t="shared" si="20"/>
        <v>0</v>
      </c>
      <c r="O42" s="403">
        <f t="shared" si="20"/>
        <v>47.368421052631575</v>
      </c>
      <c r="P42" s="403">
        <f t="shared" si="20"/>
        <v>0</v>
      </c>
      <c r="Q42" s="404">
        <f t="shared" si="20"/>
        <v>0</v>
      </c>
      <c r="R42" s="404">
        <f t="shared" si="20"/>
        <v>47.368421052631575</v>
      </c>
      <c r="S42" s="404">
        <f t="shared" si="20"/>
        <v>0</v>
      </c>
      <c r="T42" s="404">
        <f t="shared" si="20"/>
        <v>47.368421052631575</v>
      </c>
      <c r="U42" s="404">
        <f t="shared" si="20"/>
        <v>0</v>
      </c>
    </row>
    <row r="43" spans="1:22">
      <c r="C43" s="409"/>
      <c r="D43" s="409"/>
      <c r="E43" s="409" t="s">
        <v>293</v>
      </c>
      <c r="H43" s="409" t="s">
        <v>100</v>
      </c>
      <c r="J43" s="410" t="s">
        <v>330</v>
      </c>
      <c r="L43" s="410" t="s">
        <v>101</v>
      </c>
      <c r="Q43" s="410" t="s">
        <v>148</v>
      </c>
      <c r="S43" s="412" t="s">
        <v>331</v>
      </c>
    </row>
  </sheetData>
  <mergeCells count="28">
    <mergeCell ref="A30:B30"/>
    <mergeCell ref="A31:B31"/>
    <mergeCell ref="A32:B32"/>
    <mergeCell ref="A33:B33"/>
    <mergeCell ref="Q24:U24"/>
    <mergeCell ref="A25:B25"/>
    <mergeCell ref="A26:B26"/>
    <mergeCell ref="A27:B27"/>
    <mergeCell ref="A28:B28"/>
    <mergeCell ref="A29:B29"/>
    <mergeCell ref="L24:P24"/>
    <mergeCell ref="A10:B10"/>
    <mergeCell ref="A11:B11"/>
    <mergeCell ref="A24:B24"/>
    <mergeCell ref="C24:G24"/>
    <mergeCell ref="H24:K24"/>
    <mergeCell ref="Q2:U2"/>
    <mergeCell ref="A3:B3"/>
    <mergeCell ref="A9:B9"/>
    <mergeCell ref="A2:B2"/>
    <mergeCell ref="C2:G2"/>
    <mergeCell ref="H2:K2"/>
    <mergeCell ref="L2:P2"/>
    <mergeCell ref="A4:B4"/>
    <mergeCell ref="A5:B5"/>
    <mergeCell ref="A6:B6"/>
    <mergeCell ref="A7:B7"/>
    <mergeCell ref="A8:B8"/>
  </mergeCells>
  <phoneticPr fontId="16" type="noConversion"/>
  <pageMargins left="0.25" right="0.25" top="0.75" bottom="0.75" header="0.3" footer="0.3"/>
  <pageSetup paperSize="9" scale="7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H291"/>
  <sheetViews>
    <sheetView showZeros="0" zoomScale="70" zoomScaleNormal="70" workbookViewId="0">
      <pane ySplit="3" topLeftCell="A4" activePane="bottomLeft" state="frozen"/>
      <selection activeCell="W187" sqref="W187"/>
      <selection pane="bottomLeft" activeCell="AM51" sqref="AM51"/>
    </sheetView>
  </sheetViews>
  <sheetFormatPr defaultColWidth="9" defaultRowHeight="16.5"/>
  <cols>
    <col min="1" max="1" width="3.625" style="7" customWidth="1"/>
    <col min="2" max="2" width="5.625" style="7" hidden="1" customWidth="1"/>
    <col min="3" max="6" width="7.625" style="7" hidden="1" customWidth="1"/>
    <col min="7" max="7" width="5.625" style="7" customWidth="1"/>
    <col min="8" max="8" width="14.75" style="7" customWidth="1"/>
    <col min="9" max="11" width="7.625" style="7" customWidth="1"/>
    <col min="12" max="12" width="5.625" style="7" customWidth="1"/>
    <col min="13" max="13" width="14.75" style="7" customWidth="1"/>
    <col min="14" max="14" width="9.125" style="7" customWidth="1"/>
    <col min="15" max="16" width="7.625" style="7" customWidth="1"/>
    <col min="17" max="17" width="5.625" style="7" customWidth="1"/>
    <col min="18" max="18" width="14.75" style="7" customWidth="1"/>
    <col min="19" max="21" width="7.625" style="7" customWidth="1"/>
    <col min="22" max="22" width="5.625" style="7" customWidth="1"/>
    <col min="23" max="23" width="14.75" style="7" customWidth="1"/>
    <col min="24" max="24" width="9.625" style="7" customWidth="1"/>
    <col min="25" max="26" width="7.625" style="7" customWidth="1"/>
    <col min="27" max="27" width="5.625" style="7" customWidth="1"/>
    <col min="28" max="28" width="14.75" style="184" customWidth="1"/>
    <col min="29" max="29" width="11.125" style="7" customWidth="1"/>
    <col min="30" max="31" width="7.625" style="7" customWidth="1"/>
    <col min="32" max="32" width="5.625" style="2" hidden="1" customWidth="1"/>
    <col min="33" max="36" width="7.625" style="2" hidden="1" customWidth="1"/>
    <col min="37" max="37" width="9" style="2" customWidth="1"/>
    <col min="38" max="38" width="4.5" customWidth="1"/>
    <col min="39" max="39" width="8.625" customWidth="1"/>
    <col min="40" max="43" width="4" customWidth="1"/>
    <col min="44" max="45" width="4" style="224" customWidth="1"/>
    <col min="46" max="46" width="4.5" style="224" customWidth="1"/>
    <col min="47" max="47" width="8.625" style="224" customWidth="1"/>
    <col min="48" max="53" width="4" style="224" customWidth="1"/>
    <col min="54" max="54" width="4.5" style="224" customWidth="1"/>
    <col min="55" max="55" width="8.625" style="224" customWidth="1"/>
    <col min="56" max="61" width="4" style="224" customWidth="1"/>
    <col min="62" max="62" width="4.5" style="224" customWidth="1"/>
    <col min="63" max="63" width="8.625" style="224" customWidth="1"/>
    <col min="64" max="69" width="4" style="224" customWidth="1"/>
    <col min="70" max="70" width="4.5" style="224" customWidth="1"/>
    <col min="71" max="71" width="8.625" style="224" customWidth="1"/>
    <col min="72" max="77" width="4" style="224" customWidth="1"/>
    <col min="78" max="78" width="4.5" style="224" customWidth="1"/>
    <col min="79" max="79" width="8.625" style="224" customWidth="1"/>
    <col min="80" max="85" width="4" style="224" customWidth="1"/>
    <col min="86" max="86" width="9" style="224"/>
    <col min="87" max="16384" width="9" style="2"/>
  </cols>
  <sheetData>
    <row r="1" spans="1:86" s="1" customFormat="1" ht="26.25" customHeight="1" thickBot="1">
      <c r="A1" s="602" t="str">
        <f>菜單總表!A2&amp;+LEFT(菜單總表!A3,FIND("餐",菜單總表!A3)-3)&amp;+"第3週午餐菜單"</f>
        <v>基隆市安樂高中、長樂安樂港西國小113 年 6 月 份 第3週午餐菜單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91"/>
      <c r="AL1"/>
      <c r="AM1"/>
      <c r="AN1"/>
      <c r="AO1"/>
      <c r="AP1"/>
      <c r="AQ1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</row>
    <row r="2" spans="1:86" s="1" customFormat="1" ht="18" customHeight="1">
      <c r="A2" s="558"/>
      <c r="B2" s="531">
        <v>44290</v>
      </c>
      <c r="C2" s="532"/>
      <c r="D2" s="10" t="s">
        <v>26</v>
      </c>
      <c r="E2" s="25"/>
      <c r="F2" s="28" t="s">
        <v>12</v>
      </c>
      <c r="G2" s="531">
        <f>DATE(YEAR(第四週!AA2),MONTH(第四週!AA2),DAY(第四週!AA2)+3)</f>
        <v>45474</v>
      </c>
      <c r="H2" s="532"/>
      <c r="I2" s="8" t="s">
        <v>11</v>
      </c>
      <c r="J2" s="25">
        <v>2100</v>
      </c>
      <c r="K2" s="28" t="s">
        <v>12</v>
      </c>
      <c r="L2" s="531">
        <f>DATE(YEAR(G2),MONTH(G2),DAY(G2)+1)</f>
        <v>45475</v>
      </c>
      <c r="M2" s="532"/>
      <c r="N2" s="10" t="s">
        <v>13</v>
      </c>
      <c r="O2" s="25">
        <v>2100</v>
      </c>
      <c r="P2" s="28" t="s">
        <v>12</v>
      </c>
      <c r="Q2" s="531">
        <f>DATE(YEAR(L2),MONTH(L2),DAY(L2)+1)</f>
        <v>45476</v>
      </c>
      <c r="R2" s="532"/>
      <c r="S2" s="10" t="s">
        <v>14</v>
      </c>
      <c r="T2" s="25">
        <v>2100</v>
      </c>
      <c r="U2" s="28" t="s">
        <v>12</v>
      </c>
      <c r="V2" s="531">
        <f>DATE(YEAR(Q2),MONTH(Q2),DAY(Q2)+1)</f>
        <v>45477</v>
      </c>
      <c r="W2" s="532"/>
      <c r="X2" s="10" t="s">
        <v>15</v>
      </c>
      <c r="Y2" s="25">
        <v>2100</v>
      </c>
      <c r="Z2" s="28" t="s">
        <v>12</v>
      </c>
      <c r="AA2" s="531">
        <f>DATE(YEAR(V2),MONTH(V2),DAY(V2)+1)</f>
        <v>45478</v>
      </c>
      <c r="AB2" s="532"/>
      <c r="AC2" s="10" t="s">
        <v>16</v>
      </c>
      <c r="AD2" s="25">
        <v>2100</v>
      </c>
      <c r="AE2" s="28" t="s">
        <v>12</v>
      </c>
      <c r="AF2" s="531"/>
      <c r="AG2" s="532"/>
      <c r="AH2" s="10" t="s">
        <v>17</v>
      </c>
      <c r="AI2" s="25"/>
      <c r="AJ2" s="28" t="s">
        <v>12</v>
      </c>
      <c r="AK2" s="91"/>
      <c r="AL2"/>
      <c r="AM2"/>
      <c r="AN2"/>
      <c r="AO2"/>
      <c r="AP2"/>
      <c r="AQ2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</row>
    <row r="3" spans="1:86" s="1" customFormat="1" ht="18" customHeight="1" thickBot="1">
      <c r="A3" s="559"/>
      <c r="B3" s="29" t="s">
        <v>18</v>
      </c>
      <c r="C3" s="64" t="s">
        <v>19</v>
      </c>
      <c r="D3" s="64" t="s">
        <v>20</v>
      </c>
      <c r="E3" s="31" t="s">
        <v>4</v>
      </c>
      <c r="F3" s="32" t="s">
        <v>3</v>
      </c>
      <c r="G3" s="29" t="s">
        <v>18</v>
      </c>
      <c r="H3" s="26" t="s">
        <v>19</v>
      </c>
      <c r="I3" s="26" t="s">
        <v>20</v>
      </c>
      <c r="J3" s="26" t="s">
        <v>4</v>
      </c>
      <c r="K3" s="30" t="s">
        <v>3</v>
      </c>
      <c r="L3" s="29" t="s">
        <v>18</v>
      </c>
      <c r="M3" s="31" t="s">
        <v>19</v>
      </c>
      <c r="N3" s="31" t="s">
        <v>20</v>
      </c>
      <c r="O3" s="31" t="s">
        <v>4</v>
      </c>
      <c r="P3" s="32" t="s">
        <v>3</v>
      </c>
      <c r="Q3" s="29" t="s">
        <v>18</v>
      </c>
      <c r="R3" s="31" t="s">
        <v>19</v>
      </c>
      <c r="S3" s="31" t="s">
        <v>20</v>
      </c>
      <c r="T3" s="31" t="s">
        <v>4</v>
      </c>
      <c r="U3" s="32" t="s">
        <v>3</v>
      </c>
      <c r="V3" s="29" t="s">
        <v>18</v>
      </c>
      <c r="W3" s="31" t="s">
        <v>19</v>
      </c>
      <c r="X3" s="31" t="s">
        <v>20</v>
      </c>
      <c r="Y3" s="31" t="s">
        <v>4</v>
      </c>
      <c r="Z3" s="32" t="s">
        <v>3</v>
      </c>
      <c r="AA3" s="29" t="s">
        <v>18</v>
      </c>
      <c r="AB3" s="118" t="s">
        <v>19</v>
      </c>
      <c r="AC3" s="31" t="s">
        <v>20</v>
      </c>
      <c r="AD3" s="31" t="s">
        <v>4</v>
      </c>
      <c r="AE3" s="32" t="s">
        <v>3</v>
      </c>
      <c r="AF3" s="29" t="s">
        <v>18</v>
      </c>
      <c r="AG3" s="31" t="s">
        <v>19</v>
      </c>
      <c r="AH3" s="31" t="s">
        <v>20</v>
      </c>
      <c r="AI3" s="31" t="s">
        <v>4</v>
      </c>
      <c r="AJ3" s="32" t="s">
        <v>3</v>
      </c>
      <c r="AK3" s="91"/>
      <c r="AL3"/>
      <c r="AM3"/>
      <c r="AN3"/>
      <c r="AO3"/>
      <c r="AP3"/>
      <c r="AQ3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</row>
    <row r="4" spans="1:86" s="1" customFormat="1" ht="18" customHeight="1">
      <c r="A4" s="551" t="s">
        <v>33</v>
      </c>
      <c r="B4" s="536"/>
      <c r="C4" s="36"/>
      <c r="D4" s="37"/>
      <c r="E4" s="38"/>
      <c r="F4" s="39"/>
      <c r="G4" s="533"/>
      <c r="H4" s="320"/>
      <c r="I4" s="9"/>
      <c r="J4" s="33"/>
      <c r="K4" s="34"/>
      <c r="L4" s="533"/>
      <c r="M4" s="320"/>
      <c r="N4" s="9"/>
      <c r="O4" s="33"/>
      <c r="P4" s="34"/>
      <c r="Q4" s="533"/>
      <c r="R4" s="93"/>
      <c r="S4" s="9"/>
      <c r="T4" s="33"/>
      <c r="U4" s="34"/>
      <c r="V4" s="555"/>
      <c r="W4" s="93"/>
      <c r="X4" s="9"/>
      <c r="Y4" s="33"/>
      <c r="Z4" s="34"/>
      <c r="AA4" s="533"/>
      <c r="AB4" s="93"/>
      <c r="AC4" s="9"/>
      <c r="AD4" s="33"/>
      <c r="AE4" s="34"/>
      <c r="AF4" s="536"/>
      <c r="AG4" s="36"/>
      <c r="AH4" s="37"/>
      <c r="AI4" s="38"/>
      <c r="AJ4" s="39"/>
      <c r="AK4" s="91"/>
      <c r="AL4"/>
      <c r="AM4"/>
      <c r="AN4"/>
      <c r="AO4"/>
      <c r="AP4"/>
      <c r="AQ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</row>
    <row r="5" spans="1:86" s="1" customFormat="1" ht="18" customHeight="1" thickBot="1">
      <c r="A5" s="537"/>
      <c r="B5" s="537"/>
      <c r="C5" s="42"/>
      <c r="D5" s="7"/>
      <c r="E5" s="43"/>
      <c r="F5" s="44"/>
      <c r="G5" s="534"/>
      <c r="H5" s="322"/>
      <c r="I5" s="14"/>
      <c r="J5" s="40"/>
      <c r="K5" s="41"/>
      <c r="L5" s="534"/>
      <c r="M5" s="322"/>
      <c r="N5" s="14"/>
      <c r="O5" s="40"/>
      <c r="P5" s="41"/>
      <c r="Q5" s="534"/>
      <c r="R5" s="94"/>
      <c r="S5" s="14"/>
      <c r="T5" s="40"/>
      <c r="U5" s="41"/>
      <c r="V5" s="556"/>
      <c r="W5" s="94"/>
      <c r="X5" s="14"/>
      <c r="Y5" s="40"/>
      <c r="Z5" s="41"/>
      <c r="AA5" s="534"/>
      <c r="AB5" s="94"/>
      <c r="AC5" s="14"/>
      <c r="AD5" s="40"/>
      <c r="AE5" s="41"/>
      <c r="AF5" s="537"/>
      <c r="AG5" s="42"/>
      <c r="AH5" s="7"/>
      <c r="AI5" s="43"/>
      <c r="AJ5" s="44"/>
      <c r="AK5" s="91"/>
      <c r="AL5"/>
      <c r="AM5"/>
      <c r="AN5"/>
      <c r="AO5"/>
      <c r="AP5"/>
      <c r="AQ5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</row>
    <row r="6" spans="1:86" s="1" customFormat="1" ht="18" hidden="1" customHeight="1" thickBot="1">
      <c r="A6" s="537"/>
      <c r="B6" s="537"/>
      <c r="C6" s="42"/>
      <c r="D6" s="7"/>
      <c r="E6" s="43"/>
      <c r="F6" s="44"/>
      <c r="G6" s="534"/>
      <c r="H6" s="208"/>
      <c r="I6" s="13"/>
      <c r="J6" s="45"/>
      <c r="K6" s="13"/>
      <c r="L6" s="534"/>
      <c r="M6" s="208"/>
      <c r="N6" s="13"/>
      <c r="O6" s="45"/>
      <c r="P6" s="13"/>
      <c r="Q6" s="534"/>
      <c r="R6" s="95"/>
      <c r="S6" s="13"/>
      <c r="T6" s="45"/>
      <c r="U6" s="13"/>
      <c r="V6" s="556"/>
      <c r="W6" s="95"/>
      <c r="X6" s="13"/>
      <c r="Y6" s="45"/>
      <c r="Z6" s="46"/>
      <c r="AA6" s="534"/>
      <c r="AB6" s="95"/>
      <c r="AC6" s="13"/>
      <c r="AD6" s="45"/>
      <c r="AE6" s="13"/>
      <c r="AF6" s="537"/>
      <c r="AG6" s="42"/>
      <c r="AH6" s="7"/>
      <c r="AI6" s="43"/>
      <c r="AJ6" s="44"/>
      <c r="AK6" s="91"/>
      <c r="AL6"/>
      <c r="AM6"/>
      <c r="AN6"/>
      <c r="AO6"/>
      <c r="AP6"/>
      <c r="AQ6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</row>
    <row r="7" spans="1:86" s="1" customFormat="1" ht="18" hidden="1" customHeight="1">
      <c r="A7" s="537"/>
      <c r="B7" s="537"/>
      <c r="C7" s="42"/>
      <c r="D7" s="7"/>
      <c r="E7" s="43"/>
      <c r="F7" s="44"/>
      <c r="G7" s="534"/>
      <c r="H7" s="208"/>
      <c r="I7" s="13"/>
      <c r="J7" s="45"/>
      <c r="K7" s="13"/>
      <c r="L7" s="534"/>
      <c r="M7" s="208"/>
      <c r="N7" s="13"/>
      <c r="O7" s="45"/>
      <c r="P7" s="13"/>
      <c r="Q7" s="534"/>
      <c r="R7" s="95"/>
      <c r="S7" s="13"/>
      <c r="T7" s="45"/>
      <c r="U7" s="13"/>
      <c r="V7" s="556"/>
      <c r="W7" s="95"/>
      <c r="X7" s="13"/>
      <c r="Y7" s="45"/>
      <c r="Z7" s="46"/>
      <c r="AA7" s="534"/>
      <c r="AB7" s="95"/>
      <c r="AC7" s="13"/>
      <c r="AD7" s="45"/>
      <c r="AE7" s="13"/>
      <c r="AF7" s="537"/>
      <c r="AG7" s="42"/>
      <c r="AH7" s="7"/>
      <c r="AI7" s="43"/>
      <c r="AJ7" s="44"/>
      <c r="AK7" s="91"/>
      <c r="AL7"/>
      <c r="AM7"/>
      <c r="AN7"/>
      <c r="AO7"/>
      <c r="AP7"/>
      <c r="AQ7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</row>
    <row r="8" spans="1:86" s="1" customFormat="1" ht="18" hidden="1" customHeight="1">
      <c r="A8" s="537"/>
      <c r="B8" s="537"/>
      <c r="C8" s="42"/>
      <c r="D8" s="7"/>
      <c r="E8" s="43"/>
      <c r="F8" s="44"/>
      <c r="G8" s="534"/>
      <c r="H8" s="208"/>
      <c r="I8" s="13"/>
      <c r="J8" s="45"/>
      <c r="K8" s="13"/>
      <c r="L8" s="534"/>
      <c r="M8" s="208"/>
      <c r="N8" s="13"/>
      <c r="O8" s="45"/>
      <c r="P8" s="13"/>
      <c r="Q8" s="534"/>
      <c r="R8" s="95"/>
      <c r="S8" s="13"/>
      <c r="T8" s="45"/>
      <c r="U8" s="13"/>
      <c r="V8" s="556"/>
      <c r="W8" s="95"/>
      <c r="X8" s="13"/>
      <c r="Y8" s="45"/>
      <c r="Z8" s="46"/>
      <c r="AA8" s="534"/>
      <c r="AB8" s="95"/>
      <c r="AC8" s="13"/>
      <c r="AD8" s="45"/>
      <c r="AE8" s="13"/>
      <c r="AF8" s="537"/>
      <c r="AG8" s="42"/>
      <c r="AH8" s="7"/>
      <c r="AI8" s="43"/>
      <c r="AJ8" s="44"/>
      <c r="AK8" s="91"/>
      <c r="AL8"/>
      <c r="AM8"/>
      <c r="AN8"/>
      <c r="AO8"/>
      <c r="AP8"/>
      <c r="AQ8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</row>
    <row r="9" spans="1:86" s="1" customFormat="1" ht="18" hidden="1" customHeight="1">
      <c r="A9" s="537"/>
      <c r="B9" s="537"/>
      <c r="C9" s="42"/>
      <c r="D9" s="7"/>
      <c r="E9" s="43"/>
      <c r="F9" s="44"/>
      <c r="G9" s="534"/>
      <c r="H9" s="208"/>
      <c r="I9" s="13"/>
      <c r="J9" s="45"/>
      <c r="K9" s="13"/>
      <c r="L9" s="534"/>
      <c r="M9" s="208"/>
      <c r="N9" s="13"/>
      <c r="O9" s="45"/>
      <c r="P9" s="13"/>
      <c r="Q9" s="534"/>
      <c r="R9" s="95"/>
      <c r="S9" s="13"/>
      <c r="T9" s="45"/>
      <c r="U9" s="13"/>
      <c r="V9" s="556"/>
      <c r="W9" s="95"/>
      <c r="X9" s="13"/>
      <c r="Y9" s="45"/>
      <c r="Z9" s="46"/>
      <c r="AA9" s="534"/>
      <c r="AB9" s="95"/>
      <c r="AC9" s="13"/>
      <c r="AD9" s="45"/>
      <c r="AE9" s="13"/>
      <c r="AF9" s="537"/>
      <c r="AG9" s="42"/>
      <c r="AH9" s="7"/>
      <c r="AI9" s="43"/>
      <c r="AJ9" s="44"/>
      <c r="AK9" s="91"/>
      <c r="AL9"/>
      <c r="AM9"/>
      <c r="AN9"/>
      <c r="AO9"/>
      <c r="AP9"/>
      <c r="AQ9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</row>
    <row r="10" spans="1:86" s="1" customFormat="1" ht="18" hidden="1" customHeight="1">
      <c r="A10" s="537"/>
      <c r="B10" s="537"/>
      <c r="C10" s="42"/>
      <c r="D10" s="7"/>
      <c r="E10" s="43"/>
      <c r="F10" s="44"/>
      <c r="G10" s="534"/>
      <c r="H10" s="208"/>
      <c r="I10" s="13"/>
      <c r="J10" s="45"/>
      <c r="K10" s="13"/>
      <c r="L10" s="534"/>
      <c r="M10" s="208"/>
      <c r="N10" s="13"/>
      <c r="O10" s="45"/>
      <c r="P10" s="13"/>
      <c r="Q10" s="534"/>
      <c r="R10" s="95"/>
      <c r="S10" s="13"/>
      <c r="T10" s="45"/>
      <c r="U10" s="13"/>
      <c r="V10" s="556"/>
      <c r="W10" s="95"/>
      <c r="X10" s="13"/>
      <c r="Y10" s="45"/>
      <c r="Z10" s="46"/>
      <c r="AA10" s="534"/>
      <c r="AB10" s="95"/>
      <c r="AC10" s="13"/>
      <c r="AD10" s="45"/>
      <c r="AE10" s="13"/>
      <c r="AF10" s="537"/>
      <c r="AG10" s="42"/>
      <c r="AH10" s="7"/>
      <c r="AI10" s="43"/>
      <c r="AJ10" s="44"/>
      <c r="AK10" s="91"/>
      <c r="AL10"/>
      <c r="AM10"/>
      <c r="AN10"/>
      <c r="AO10"/>
      <c r="AP10"/>
      <c r="AQ10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</row>
    <row r="11" spans="1:86" s="1" customFormat="1" ht="18" hidden="1" customHeight="1">
      <c r="A11" s="537"/>
      <c r="B11" s="537"/>
      <c r="C11" s="42"/>
      <c r="D11" s="7"/>
      <c r="E11" s="43"/>
      <c r="F11" s="44"/>
      <c r="G11" s="534"/>
      <c r="H11" s="208"/>
      <c r="I11" s="13"/>
      <c r="J11" s="45"/>
      <c r="K11" s="13"/>
      <c r="L11" s="534"/>
      <c r="M11" s="208"/>
      <c r="N11" s="13"/>
      <c r="O11" s="45"/>
      <c r="P11" s="13"/>
      <c r="Q11" s="534"/>
      <c r="R11" s="95"/>
      <c r="S11" s="13"/>
      <c r="T11" s="45"/>
      <c r="U11" s="13"/>
      <c r="V11" s="556"/>
      <c r="W11" s="95"/>
      <c r="X11" s="13"/>
      <c r="Y11" s="45"/>
      <c r="Z11" s="46"/>
      <c r="AA11" s="534"/>
      <c r="AB11" s="95"/>
      <c r="AC11" s="13"/>
      <c r="AD11" s="45"/>
      <c r="AE11" s="13"/>
      <c r="AF11" s="537"/>
      <c r="AG11" s="42"/>
      <c r="AH11" s="7"/>
      <c r="AI11" s="43"/>
      <c r="AJ11" s="44"/>
      <c r="AK11" s="91"/>
      <c r="AL11"/>
      <c r="AM11"/>
      <c r="AN11"/>
      <c r="AO11"/>
      <c r="AP11"/>
      <c r="AQ11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</row>
    <row r="12" spans="1:86" s="1" customFormat="1" ht="18" hidden="1" customHeight="1">
      <c r="A12" s="537"/>
      <c r="B12" s="537"/>
      <c r="C12" s="42"/>
      <c r="D12" s="7"/>
      <c r="E12" s="43"/>
      <c r="F12" s="44"/>
      <c r="G12" s="534"/>
      <c r="H12" s="208"/>
      <c r="I12" s="13"/>
      <c r="J12" s="45"/>
      <c r="K12" s="13"/>
      <c r="L12" s="534"/>
      <c r="M12" s="208"/>
      <c r="N12" s="13"/>
      <c r="O12" s="45"/>
      <c r="P12" s="13"/>
      <c r="Q12" s="534"/>
      <c r="R12" s="95"/>
      <c r="S12" s="13"/>
      <c r="T12" s="45"/>
      <c r="U12" s="13"/>
      <c r="V12" s="556"/>
      <c r="W12" s="95"/>
      <c r="X12" s="13"/>
      <c r="Y12" s="45"/>
      <c r="Z12" s="46"/>
      <c r="AA12" s="534"/>
      <c r="AB12" s="95"/>
      <c r="AC12" s="13"/>
      <c r="AD12" s="45"/>
      <c r="AE12" s="13"/>
      <c r="AF12" s="537"/>
      <c r="AG12" s="42"/>
      <c r="AH12" s="7"/>
      <c r="AI12" s="43"/>
      <c r="AJ12" s="44"/>
      <c r="AK12" s="91"/>
      <c r="AL12"/>
      <c r="AM12"/>
      <c r="AN12"/>
      <c r="AO12"/>
      <c r="AP12"/>
      <c r="AQ12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</row>
    <row r="13" spans="1:86" s="1" customFormat="1" ht="18" hidden="1" customHeight="1">
      <c r="A13" s="537"/>
      <c r="B13" s="537"/>
      <c r="C13" s="42"/>
      <c r="D13" s="7"/>
      <c r="E13" s="43"/>
      <c r="F13" s="44"/>
      <c r="G13" s="534"/>
      <c r="H13" s="208"/>
      <c r="I13" s="13"/>
      <c r="J13" s="45"/>
      <c r="K13" s="13"/>
      <c r="L13" s="534"/>
      <c r="M13" s="208"/>
      <c r="N13" s="13"/>
      <c r="O13" s="45"/>
      <c r="P13" s="13"/>
      <c r="Q13" s="534"/>
      <c r="R13" s="95"/>
      <c r="S13" s="13"/>
      <c r="T13" s="45"/>
      <c r="U13" s="13"/>
      <c r="V13" s="556"/>
      <c r="W13" s="95"/>
      <c r="X13" s="13"/>
      <c r="Y13" s="45"/>
      <c r="Z13" s="46"/>
      <c r="AA13" s="534"/>
      <c r="AB13" s="95"/>
      <c r="AC13" s="13"/>
      <c r="AD13" s="45"/>
      <c r="AE13" s="13"/>
      <c r="AF13" s="537"/>
      <c r="AG13" s="42"/>
      <c r="AH13" s="7"/>
      <c r="AI13" s="43"/>
      <c r="AJ13" s="44"/>
      <c r="AK13" s="91"/>
      <c r="AL13"/>
      <c r="AM13"/>
      <c r="AN13"/>
      <c r="AO13"/>
      <c r="AP13"/>
      <c r="AQ13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</row>
    <row r="14" spans="1:86" s="1" customFormat="1" ht="18" hidden="1" customHeight="1">
      <c r="A14" s="537"/>
      <c r="B14" s="537"/>
      <c r="C14" s="42"/>
      <c r="D14" s="7"/>
      <c r="E14" s="43"/>
      <c r="F14" s="44"/>
      <c r="G14" s="534"/>
      <c r="H14" s="208"/>
      <c r="I14" s="13"/>
      <c r="J14" s="45"/>
      <c r="K14" s="13"/>
      <c r="L14" s="534"/>
      <c r="M14" s="208"/>
      <c r="N14" s="13"/>
      <c r="O14" s="45"/>
      <c r="P14" s="13"/>
      <c r="Q14" s="534"/>
      <c r="R14" s="95"/>
      <c r="S14" s="13"/>
      <c r="T14" s="45"/>
      <c r="U14" s="13"/>
      <c r="V14" s="556"/>
      <c r="W14" s="95"/>
      <c r="X14" s="13"/>
      <c r="Y14" s="45"/>
      <c r="Z14" s="46"/>
      <c r="AA14" s="534"/>
      <c r="AB14" s="95"/>
      <c r="AC14" s="13"/>
      <c r="AD14" s="45"/>
      <c r="AE14" s="13"/>
      <c r="AF14" s="537"/>
      <c r="AG14" s="42"/>
      <c r="AH14" s="7"/>
      <c r="AI14" s="43"/>
      <c r="AJ14" s="44"/>
      <c r="AK14" s="91"/>
      <c r="AL14"/>
      <c r="AM14"/>
      <c r="AN14"/>
      <c r="AO14"/>
      <c r="AP14"/>
      <c r="AQ1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</row>
    <row r="15" spans="1:86" s="1" customFormat="1" ht="18" hidden="1" customHeight="1">
      <c r="A15" s="537"/>
      <c r="B15" s="537"/>
      <c r="C15" s="42"/>
      <c r="D15" s="7"/>
      <c r="E15" s="43"/>
      <c r="F15" s="44"/>
      <c r="G15" s="534"/>
      <c r="H15" s="208"/>
      <c r="I15" s="13"/>
      <c r="J15" s="45"/>
      <c r="K15" s="13"/>
      <c r="L15" s="534"/>
      <c r="M15" s="208"/>
      <c r="N15" s="13"/>
      <c r="O15" s="45"/>
      <c r="P15" s="13"/>
      <c r="Q15" s="534"/>
      <c r="R15" s="95"/>
      <c r="S15" s="13"/>
      <c r="T15" s="45"/>
      <c r="U15" s="13"/>
      <c r="V15" s="556"/>
      <c r="W15" s="95"/>
      <c r="X15" s="13"/>
      <c r="Y15" s="45"/>
      <c r="Z15" s="46"/>
      <c r="AA15" s="534"/>
      <c r="AB15" s="95"/>
      <c r="AC15" s="13"/>
      <c r="AD15" s="45"/>
      <c r="AE15" s="13"/>
      <c r="AF15" s="537"/>
      <c r="AG15" s="42"/>
      <c r="AH15" s="7"/>
      <c r="AI15" s="43"/>
      <c r="AJ15" s="44"/>
      <c r="AK15" s="91"/>
      <c r="AL15"/>
      <c r="AM15"/>
      <c r="AN15"/>
      <c r="AO15"/>
      <c r="AP15"/>
      <c r="AQ15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</row>
    <row r="16" spans="1:86" s="1" customFormat="1" ht="18" hidden="1" customHeight="1">
      <c r="A16" s="537"/>
      <c r="B16" s="537"/>
      <c r="C16" s="42"/>
      <c r="D16" s="7"/>
      <c r="E16" s="43"/>
      <c r="F16" s="44"/>
      <c r="G16" s="534"/>
      <c r="H16" s="208"/>
      <c r="I16" s="13"/>
      <c r="J16" s="45"/>
      <c r="K16" s="13"/>
      <c r="L16" s="534"/>
      <c r="M16" s="208"/>
      <c r="N16" s="13"/>
      <c r="O16" s="45"/>
      <c r="P16" s="13"/>
      <c r="Q16" s="534"/>
      <c r="R16" s="95"/>
      <c r="S16" s="13"/>
      <c r="T16" s="45"/>
      <c r="U16" s="13"/>
      <c r="V16" s="556"/>
      <c r="W16" s="95"/>
      <c r="X16" s="13"/>
      <c r="Y16" s="45"/>
      <c r="Z16" s="46"/>
      <c r="AA16" s="534"/>
      <c r="AB16" s="95"/>
      <c r="AC16" s="13"/>
      <c r="AD16" s="45"/>
      <c r="AE16" s="13"/>
      <c r="AF16" s="537"/>
      <c r="AG16" s="42"/>
      <c r="AH16" s="7"/>
      <c r="AI16" s="43"/>
      <c r="AJ16" s="44"/>
      <c r="AK16" s="91"/>
      <c r="AL16"/>
      <c r="AM16"/>
      <c r="AN16"/>
      <c r="AO16"/>
      <c r="AP16"/>
      <c r="AQ16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</row>
    <row r="17" spans="1:86" s="1" customFormat="1" ht="18" hidden="1" customHeight="1">
      <c r="A17" s="537"/>
      <c r="B17" s="537"/>
      <c r="C17" s="42"/>
      <c r="D17" s="7"/>
      <c r="E17" s="43"/>
      <c r="F17" s="44"/>
      <c r="G17" s="534"/>
      <c r="H17" s="208"/>
      <c r="I17" s="13"/>
      <c r="J17" s="45"/>
      <c r="K17" s="13"/>
      <c r="L17" s="534"/>
      <c r="M17" s="208"/>
      <c r="N17" s="13"/>
      <c r="O17" s="45"/>
      <c r="P17" s="13"/>
      <c r="Q17" s="534"/>
      <c r="R17" s="95"/>
      <c r="S17" s="13"/>
      <c r="T17" s="45"/>
      <c r="U17" s="13"/>
      <c r="V17" s="556"/>
      <c r="W17" s="95"/>
      <c r="X17" s="13"/>
      <c r="Y17" s="45"/>
      <c r="Z17" s="46"/>
      <c r="AA17" s="534"/>
      <c r="AB17" s="95"/>
      <c r="AC17" s="13"/>
      <c r="AD17" s="45"/>
      <c r="AE17" s="13"/>
      <c r="AF17" s="537"/>
      <c r="AG17" s="42"/>
      <c r="AH17" s="7"/>
      <c r="AI17" s="43"/>
      <c r="AJ17" s="44"/>
      <c r="AK17" s="91"/>
      <c r="AL17"/>
      <c r="AM17"/>
      <c r="AN17"/>
      <c r="AO17"/>
      <c r="AP17"/>
      <c r="AQ17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</row>
    <row r="18" spans="1:86" s="1" customFormat="1" ht="18" hidden="1" customHeight="1">
      <c r="A18" s="537"/>
      <c r="B18" s="538"/>
      <c r="C18" s="47"/>
      <c r="D18" s="48"/>
      <c r="E18" s="49"/>
      <c r="F18" s="50"/>
      <c r="G18" s="535"/>
      <c r="H18" s="323"/>
      <c r="I18" s="14"/>
      <c r="J18" s="40"/>
      <c r="K18" s="14"/>
      <c r="L18" s="535"/>
      <c r="M18" s="323"/>
      <c r="N18" s="14"/>
      <c r="O18" s="40"/>
      <c r="P18" s="14"/>
      <c r="Q18" s="535"/>
      <c r="R18" s="96"/>
      <c r="S18" s="14"/>
      <c r="T18" s="40"/>
      <c r="U18" s="14"/>
      <c r="V18" s="557"/>
      <c r="W18" s="96"/>
      <c r="X18" s="14"/>
      <c r="Y18" s="40"/>
      <c r="Z18" s="41"/>
      <c r="AA18" s="535"/>
      <c r="AB18" s="96"/>
      <c r="AC18" s="14"/>
      <c r="AD18" s="40"/>
      <c r="AE18" s="14"/>
      <c r="AF18" s="538"/>
      <c r="AG18" s="47"/>
      <c r="AH18" s="48"/>
      <c r="AI18" s="49"/>
      <c r="AJ18" s="50"/>
      <c r="AK18" s="91"/>
      <c r="AL18"/>
      <c r="AM18"/>
      <c r="AN18"/>
      <c r="AO18"/>
      <c r="AP18"/>
      <c r="AQ18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</row>
    <row r="19" spans="1:86" s="1" customFormat="1" ht="18" hidden="1" customHeight="1">
      <c r="A19" s="539" t="s">
        <v>47</v>
      </c>
      <c r="B19" s="643"/>
      <c r="C19" s="187"/>
      <c r="D19" s="188"/>
      <c r="E19" s="189"/>
      <c r="F19" s="190"/>
      <c r="G19" s="545"/>
      <c r="H19" s="95"/>
      <c r="I19" s="13"/>
      <c r="J19" s="276"/>
      <c r="K19" s="278"/>
      <c r="L19" s="548"/>
      <c r="M19" s="95"/>
      <c r="N19" s="13"/>
      <c r="O19" s="276"/>
      <c r="P19" s="278"/>
      <c r="Q19" s="548"/>
      <c r="R19" s="95"/>
      <c r="S19" s="13"/>
      <c r="T19" s="276"/>
      <c r="U19" s="278"/>
      <c r="V19" s="548"/>
      <c r="W19" s="95"/>
      <c r="X19" s="13"/>
      <c r="Y19" s="276"/>
      <c r="Z19" s="278"/>
      <c r="AA19" s="548"/>
      <c r="AB19" s="95"/>
      <c r="AC19" s="13"/>
      <c r="AD19" s="276"/>
      <c r="AE19" s="278"/>
      <c r="AF19" s="643"/>
      <c r="AG19" s="191"/>
      <c r="AH19" s="192"/>
      <c r="AI19" s="193"/>
      <c r="AJ19" s="190"/>
      <c r="AK19" s="91"/>
      <c r="AL19"/>
      <c r="AM19"/>
      <c r="AN19"/>
      <c r="AO19"/>
      <c r="AP19"/>
      <c r="AQ19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</row>
    <row r="20" spans="1:86" s="1" customFormat="1" ht="18" hidden="1" customHeight="1">
      <c r="A20" s="540"/>
      <c r="B20" s="644"/>
      <c r="C20" s="194"/>
      <c r="D20" s="195"/>
      <c r="E20" s="196"/>
      <c r="F20" s="197"/>
      <c r="G20" s="546"/>
      <c r="H20" s="95"/>
      <c r="I20" s="13"/>
      <c r="J20" s="276"/>
      <c r="K20" s="268"/>
      <c r="L20" s="549"/>
      <c r="M20" s="95"/>
      <c r="N20" s="13"/>
      <c r="O20" s="276"/>
      <c r="P20" s="268"/>
      <c r="Q20" s="549"/>
      <c r="R20" s="95"/>
      <c r="S20" s="13"/>
      <c r="T20" s="276"/>
      <c r="U20" s="268"/>
      <c r="V20" s="549"/>
      <c r="W20" s="95"/>
      <c r="X20" s="13"/>
      <c r="Y20" s="276"/>
      <c r="Z20" s="268"/>
      <c r="AA20" s="549"/>
      <c r="AB20" s="95"/>
      <c r="AC20" s="13"/>
      <c r="AD20" s="276"/>
      <c r="AE20" s="268"/>
      <c r="AF20" s="644"/>
      <c r="AG20" s="198"/>
      <c r="AH20" s="199"/>
      <c r="AI20" s="200"/>
      <c r="AJ20" s="197"/>
      <c r="AK20" s="91"/>
      <c r="AL20"/>
      <c r="AM20"/>
      <c r="AN20"/>
      <c r="AO20"/>
      <c r="AP20"/>
      <c r="AQ20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</row>
    <row r="21" spans="1:86" s="1" customFormat="1" ht="18" hidden="1" customHeight="1">
      <c r="A21" s="540"/>
      <c r="B21" s="644"/>
      <c r="C21" s="194"/>
      <c r="D21" s="195"/>
      <c r="E21" s="196"/>
      <c r="F21" s="197"/>
      <c r="G21" s="546"/>
      <c r="H21" s="95"/>
      <c r="I21" s="13"/>
      <c r="J21" s="276"/>
      <c r="K21" s="268"/>
      <c r="L21" s="549"/>
      <c r="M21" s="95"/>
      <c r="N21" s="13"/>
      <c r="O21" s="276"/>
      <c r="P21" s="268"/>
      <c r="Q21" s="549"/>
      <c r="R21" s="95"/>
      <c r="S21" s="13"/>
      <c r="T21" s="276"/>
      <c r="U21" s="268"/>
      <c r="V21" s="549"/>
      <c r="W21" s="95"/>
      <c r="X21" s="13"/>
      <c r="Y21" s="276"/>
      <c r="Z21" s="268"/>
      <c r="AA21" s="549"/>
      <c r="AB21" s="95"/>
      <c r="AC21" s="13"/>
      <c r="AD21" s="276"/>
      <c r="AE21" s="268"/>
      <c r="AF21" s="644"/>
      <c r="AG21" s="198"/>
      <c r="AH21" s="199"/>
      <c r="AI21" s="200"/>
      <c r="AJ21" s="197"/>
      <c r="AK21" s="91"/>
      <c r="AL21"/>
      <c r="AM21"/>
      <c r="AN21"/>
      <c r="AO21"/>
      <c r="AP21"/>
      <c r="AQ21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</row>
    <row r="22" spans="1:86" s="1" customFormat="1" ht="18" hidden="1" customHeight="1">
      <c r="A22" s="540"/>
      <c r="B22" s="644"/>
      <c r="C22" s="194"/>
      <c r="D22" s="195"/>
      <c r="E22" s="196"/>
      <c r="F22" s="197"/>
      <c r="G22" s="546"/>
      <c r="H22" s="95"/>
      <c r="I22" s="13"/>
      <c r="J22" s="276"/>
      <c r="K22" s="268"/>
      <c r="L22" s="549"/>
      <c r="M22" s="95"/>
      <c r="N22" s="13"/>
      <c r="O22" s="276"/>
      <c r="P22" s="268"/>
      <c r="Q22" s="549"/>
      <c r="R22" s="95"/>
      <c r="S22" s="13"/>
      <c r="T22" s="276"/>
      <c r="U22" s="268"/>
      <c r="V22" s="549"/>
      <c r="W22" s="95"/>
      <c r="X22" s="13"/>
      <c r="Y22" s="276"/>
      <c r="Z22" s="268"/>
      <c r="AA22" s="549"/>
      <c r="AB22" s="95"/>
      <c r="AC22" s="13"/>
      <c r="AD22" s="276"/>
      <c r="AE22" s="268"/>
      <c r="AF22" s="644"/>
      <c r="AG22" s="198"/>
      <c r="AH22" s="199"/>
      <c r="AI22" s="200"/>
      <c r="AJ22" s="197"/>
      <c r="AK22" s="91"/>
      <c r="AL22"/>
      <c r="AM22"/>
      <c r="AN22"/>
      <c r="AO22"/>
      <c r="AP22"/>
      <c r="AQ22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</row>
    <row r="23" spans="1:86" s="1" customFormat="1" ht="18" hidden="1" customHeight="1">
      <c r="A23" s="540"/>
      <c r="B23" s="644"/>
      <c r="C23" s="194"/>
      <c r="D23" s="195"/>
      <c r="E23" s="196"/>
      <c r="F23" s="197"/>
      <c r="G23" s="546"/>
      <c r="H23" s="95"/>
      <c r="I23" s="13"/>
      <c r="J23" s="276"/>
      <c r="K23" s="268"/>
      <c r="L23" s="549"/>
      <c r="M23" s="95"/>
      <c r="N23" s="13"/>
      <c r="O23" s="276"/>
      <c r="P23" s="268"/>
      <c r="Q23" s="549"/>
      <c r="R23" s="95"/>
      <c r="S23" s="13"/>
      <c r="T23" s="276"/>
      <c r="U23" s="268"/>
      <c r="V23" s="549"/>
      <c r="W23" s="95"/>
      <c r="X23" s="13"/>
      <c r="Y23" s="276"/>
      <c r="Z23" s="268"/>
      <c r="AA23" s="549"/>
      <c r="AB23" s="95"/>
      <c r="AC23" s="13"/>
      <c r="AD23" s="276"/>
      <c r="AE23" s="268"/>
      <c r="AF23" s="644"/>
      <c r="AG23" s="198"/>
      <c r="AH23" s="199"/>
      <c r="AI23" s="200"/>
      <c r="AJ23" s="197"/>
      <c r="AK23" s="91"/>
      <c r="AL23"/>
      <c r="AM23"/>
      <c r="AN23"/>
      <c r="AO23"/>
      <c r="AP23"/>
      <c r="AQ23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</row>
    <row r="24" spans="1:86" s="1" customFormat="1" ht="18" hidden="1" customHeight="1">
      <c r="A24" s="540"/>
      <c r="B24" s="644"/>
      <c r="C24" s="194"/>
      <c r="D24" s="195"/>
      <c r="E24" s="196"/>
      <c r="F24" s="197"/>
      <c r="G24" s="546"/>
      <c r="H24" s="95"/>
      <c r="I24" s="13"/>
      <c r="J24" s="276"/>
      <c r="K24" s="268"/>
      <c r="L24" s="549"/>
      <c r="M24" s="95"/>
      <c r="N24" s="13"/>
      <c r="O24" s="276"/>
      <c r="P24" s="268"/>
      <c r="Q24" s="549"/>
      <c r="R24" s="95"/>
      <c r="S24" s="13"/>
      <c r="T24" s="276"/>
      <c r="U24" s="268"/>
      <c r="V24" s="549"/>
      <c r="W24" s="95"/>
      <c r="X24" s="13"/>
      <c r="Y24" s="276"/>
      <c r="Z24" s="268"/>
      <c r="AA24" s="549"/>
      <c r="AB24" s="95"/>
      <c r="AC24" s="13"/>
      <c r="AD24" s="276"/>
      <c r="AE24" s="268"/>
      <c r="AF24" s="644"/>
      <c r="AG24" s="198"/>
      <c r="AH24" s="199"/>
      <c r="AI24" s="200"/>
      <c r="AJ24" s="197"/>
      <c r="AK24" s="91"/>
      <c r="AL24"/>
      <c r="AM24"/>
      <c r="AN24"/>
      <c r="AO24"/>
      <c r="AP24"/>
      <c r="AQ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</row>
    <row r="25" spans="1:86" s="1" customFormat="1" ht="18" hidden="1" customHeight="1">
      <c r="A25" s="540"/>
      <c r="B25" s="644"/>
      <c r="C25" s="194"/>
      <c r="D25" s="195"/>
      <c r="E25" s="196"/>
      <c r="F25" s="197"/>
      <c r="G25" s="546"/>
      <c r="H25" s="95"/>
      <c r="I25" s="13"/>
      <c r="J25" s="276"/>
      <c r="K25" s="268"/>
      <c r="L25" s="549"/>
      <c r="M25" s="95"/>
      <c r="N25" s="13"/>
      <c r="O25" s="276"/>
      <c r="P25" s="268"/>
      <c r="Q25" s="549"/>
      <c r="R25" s="95"/>
      <c r="S25" s="13"/>
      <c r="T25" s="276"/>
      <c r="U25" s="268"/>
      <c r="V25" s="549"/>
      <c r="W25" s="95"/>
      <c r="X25" s="13"/>
      <c r="Y25" s="276"/>
      <c r="Z25" s="268"/>
      <c r="AA25" s="549"/>
      <c r="AB25" s="95"/>
      <c r="AC25" s="13"/>
      <c r="AD25" s="276"/>
      <c r="AE25" s="268"/>
      <c r="AF25" s="644"/>
      <c r="AG25" s="198"/>
      <c r="AH25" s="199"/>
      <c r="AI25" s="200"/>
      <c r="AJ25" s="197"/>
      <c r="AK25" s="91"/>
      <c r="AL25"/>
      <c r="AM25"/>
      <c r="AN25"/>
      <c r="AO25"/>
      <c r="AP25"/>
      <c r="AQ25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</row>
    <row r="26" spans="1:86" s="1" customFormat="1" ht="18" hidden="1" customHeight="1">
      <c r="A26" s="540"/>
      <c r="B26" s="644"/>
      <c r="C26" s="194"/>
      <c r="D26" s="195"/>
      <c r="E26" s="196"/>
      <c r="F26" s="197"/>
      <c r="G26" s="546"/>
      <c r="H26" s="95"/>
      <c r="I26" s="13"/>
      <c r="J26" s="276"/>
      <c r="K26" s="268"/>
      <c r="L26" s="549"/>
      <c r="M26" s="95"/>
      <c r="N26" s="13"/>
      <c r="O26" s="276"/>
      <c r="P26" s="268"/>
      <c r="Q26" s="549"/>
      <c r="R26" s="95"/>
      <c r="S26" s="13"/>
      <c r="T26" s="276"/>
      <c r="U26" s="268"/>
      <c r="V26" s="549"/>
      <c r="W26" s="95"/>
      <c r="X26" s="13"/>
      <c r="Y26" s="276"/>
      <c r="Z26" s="268"/>
      <c r="AA26" s="549"/>
      <c r="AB26" s="95"/>
      <c r="AC26" s="13"/>
      <c r="AD26" s="276"/>
      <c r="AE26" s="268"/>
      <c r="AF26" s="644"/>
      <c r="AG26" s="198"/>
      <c r="AH26" s="199"/>
      <c r="AI26" s="200"/>
      <c r="AJ26" s="197"/>
      <c r="AK26" s="91"/>
      <c r="AL26"/>
      <c r="AM26"/>
      <c r="AN26"/>
      <c r="AO26"/>
      <c r="AP26"/>
      <c r="AQ26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</row>
    <row r="27" spans="1:86" s="1" customFormat="1" ht="18" hidden="1" customHeight="1">
      <c r="A27" s="540"/>
      <c r="B27" s="644"/>
      <c r="C27" s="194"/>
      <c r="D27" s="195"/>
      <c r="E27" s="196"/>
      <c r="F27" s="197"/>
      <c r="G27" s="546"/>
      <c r="H27" s="95"/>
      <c r="I27" s="13"/>
      <c r="J27" s="276"/>
      <c r="K27" s="268"/>
      <c r="L27" s="549"/>
      <c r="M27" s="95"/>
      <c r="N27" s="13"/>
      <c r="O27" s="276"/>
      <c r="P27" s="268"/>
      <c r="Q27" s="549"/>
      <c r="R27" s="95"/>
      <c r="S27" s="13"/>
      <c r="T27" s="276"/>
      <c r="U27" s="268"/>
      <c r="V27" s="549"/>
      <c r="W27" s="95"/>
      <c r="X27" s="13"/>
      <c r="Y27" s="276"/>
      <c r="Z27" s="268"/>
      <c r="AA27" s="549"/>
      <c r="AB27" s="95"/>
      <c r="AC27" s="13"/>
      <c r="AD27" s="276"/>
      <c r="AE27" s="268"/>
      <c r="AF27" s="644"/>
      <c r="AG27" s="198"/>
      <c r="AH27" s="199"/>
      <c r="AI27" s="200"/>
      <c r="AJ27" s="197"/>
      <c r="AK27" s="91"/>
      <c r="AL27"/>
      <c r="AM27"/>
      <c r="AN27"/>
      <c r="AO27"/>
      <c r="AP27"/>
      <c r="AQ27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</row>
    <row r="28" spans="1:86" s="1" customFormat="1" ht="18" hidden="1" customHeight="1">
      <c r="A28" s="540"/>
      <c r="B28" s="644"/>
      <c r="C28" s="194"/>
      <c r="D28" s="195"/>
      <c r="E28" s="196"/>
      <c r="F28" s="197"/>
      <c r="G28" s="546"/>
      <c r="H28" s="95"/>
      <c r="I28" s="13"/>
      <c r="J28" s="276"/>
      <c r="K28" s="268"/>
      <c r="L28" s="549"/>
      <c r="M28" s="95"/>
      <c r="N28" s="13"/>
      <c r="O28" s="276"/>
      <c r="P28" s="268"/>
      <c r="Q28" s="549"/>
      <c r="R28" s="95"/>
      <c r="S28" s="13"/>
      <c r="T28" s="276"/>
      <c r="U28" s="268"/>
      <c r="V28" s="549"/>
      <c r="W28" s="95"/>
      <c r="X28" s="13"/>
      <c r="Y28" s="276"/>
      <c r="Z28" s="268"/>
      <c r="AA28" s="549"/>
      <c r="AB28" s="95"/>
      <c r="AC28" s="13"/>
      <c r="AD28" s="276"/>
      <c r="AE28" s="268"/>
      <c r="AF28" s="644"/>
      <c r="AG28" s="198"/>
      <c r="AH28" s="199"/>
      <c r="AI28" s="200"/>
      <c r="AJ28" s="197"/>
      <c r="AK28" s="91"/>
      <c r="AL28"/>
      <c r="AM28"/>
      <c r="AN28"/>
      <c r="AO28"/>
      <c r="AP28"/>
      <c r="AQ28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</row>
    <row r="29" spans="1:86" s="1" customFormat="1" ht="18" hidden="1" customHeight="1">
      <c r="A29" s="540"/>
      <c r="B29" s="644"/>
      <c r="C29" s="194"/>
      <c r="D29" s="195"/>
      <c r="E29" s="196"/>
      <c r="F29" s="197"/>
      <c r="G29" s="546"/>
      <c r="H29" s="95"/>
      <c r="I29" s="13"/>
      <c r="J29" s="276"/>
      <c r="K29" s="268"/>
      <c r="L29" s="549"/>
      <c r="M29" s="95"/>
      <c r="N29" s="13"/>
      <c r="O29" s="276"/>
      <c r="P29" s="268"/>
      <c r="Q29" s="549"/>
      <c r="R29" s="95"/>
      <c r="S29" s="13"/>
      <c r="T29" s="276"/>
      <c r="U29" s="268"/>
      <c r="V29" s="549"/>
      <c r="W29" s="95"/>
      <c r="X29" s="13"/>
      <c r="Y29" s="276"/>
      <c r="Z29" s="268"/>
      <c r="AA29" s="549"/>
      <c r="AB29" s="95"/>
      <c r="AC29" s="13"/>
      <c r="AD29" s="276"/>
      <c r="AE29" s="268"/>
      <c r="AF29" s="644"/>
      <c r="AG29" s="198"/>
      <c r="AH29" s="199"/>
      <c r="AI29" s="200"/>
      <c r="AJ29" s="197"/>
      <c r="AK29" s="91"/>
      <c r="AL29"/>
      <c r="AM29"/>
      <c r="AN29"/>
      <c r="AO29"/>
      <c r="AP29"/>
      <c r="AQ29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</row>
    <row r="30" spans="1:86" s="1" customFormat="1" ht="18" hidden="1" customHeight="1">
      <c r="A30" s="540"/>
      <c r="B30" s="644"/>
      <c r="C30" s="194"/>
      <c r="D30" s="195"/>
      <c r="E30" s="196"/>
      <c r="F30" s="197"/>
      <c r="G30" s="546"/>
      <c r="H30" s="95"/>
      <c r="I30" s="13"/>
      <c r="J30" s="276"/>
      <c r="K30" s="268"/>
      <c r="L30" s="549"/>
      <c r="M30" s="95"/>
      <c r="N30" s="13"/>
      <c r="O30" s="276"/>
      <c r="P30" s="268"/>
      <c r="Q30" s="549"/>
      <c r="R30" s="95"/>
      <c r="S30" s="13"/>
      <c r="T30" s="276"/>
      <c r="U30" s="268"/>
      <c r="V30" s="549"/>
      <c r="W30" s="95"/>
      <c r="X30" s="13"/>
      <c r="Y30" s="276"/>
      <c r="Z30" s="268"/>
      <c r="AA30" s="549"/>
      <c r="AB30" s="95"/>
      <c r="AC30" s="13"/>
      <c r="AD30" s="276"/>
      <c r="AE30" s="268"/>
      <c r="AF30" s="644"/>
      <c r="AG30" s="198"/>
      <c r="AH30" s="199"/>
      <c r="AI30" s="200"/>
      <c r="AJ30" s="197"/>
      <c r="AK30" s="91"/>
      <c r="AL30"/>
      <c r="AM30"/>
      <c r="AN30"/>
      <c r="AO30"/>
      <c r="AP30"/>
      <c r="AQ30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</row>
    <row r="31" spans="1:86" s="1" customFormat="1" ht="18" hidden="1" customHeight="1">
      <c r="A31" s="540"/>
      <c r="B31" s="644"/>
      <c r="C31" s="194"/>
      <c r="D31" s="195"/>
      <c r="E31" s="196"/>
      <c r="F31" s="197"/>
      <c r="G31" s="546"/>
      <c r="H31" s="95"/>
      <c r="I31" s="13"/>
      <c r="J31" s="276"/>
      <c r="K31" s="268"/>
      <c r="L31" s="549"/>
      <c r="M31" s="95"/>
      <c r="N31" s="13"/>
      <c r="O31" s="276"/>
      <c r="P31" s="268"/>
      <c r="Q31" s="549"/>
      <c r="R31" s="95"/>
      <c r="S31" s="13"/>
      <c r="T31" s="276"/>
      <c r="U31" s="268"/>
      <c r="V31" s="549"/>
      <c r="W31" s="95"/>
      <c r="X31" s="13"/>
      <c r="Y31" s="276"/>
      <c r="Z31" s="268"/>
      <c r="AA31" s="549"/>
      <c r="AB31" s="95"/>
      <c r="AC31" s="13"/>
      <c r="AD31" s="276"/>
      <c r="AE31" s="268"/>
      <c r="AF31" s="644"/>
      <c r="AG31" s="198"/>
      <c r="AH31" s="199"/>
      <c r="AI31" s="200"/>
      <c r="AJ31" s="197"/>
      <c r="AK31" s="91"/>
      <c r="AL31"/>
      <c r="AM31"/>
      <c r="AN31"/>
      <c r="AO31"/>
      <c r="AP31"/>
      <c r="AQ31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</row>
    <row r="32" spans="1:86" s="1" customFormat="1" ht="18" hidden="1" customHeight="1">
      <c r="A32" s="540"/>
      <c r="B32" s="644"/>
      <c r="C32" s="194"/>
      <c r="D32" s="195"/>
      <c r="E32" s="196"/>
      <c r="F32" s="197"/>
      <c r="G32" s="546"/>
      <c r="H32" s="95"/>
      <c r="I32" s="13"/>
      <c r="J32" s="276"/>
      <c r="K32" s="268"/>
      <c r="L32" s="549"/>
      <c r="M32" s="95"/>
      <c r="N32" s="13"/>
      <c r="O32" s="276"/>
      <c r="P32" s="268"/>
      <c r="Q32" s="549"/>
      <c r="R32" s="95"/>
      <c r="S32" s="13"/>
      <c r="T32" s="276"/>
      <c r="U32" s="268"/>
      <c r="V32" s="549"/>
      <c r="W32" s="95"/>
      <c r="X32" s="13"/>
      <c r="Y32" s="276"/>
      <c r="Z32" s="268"/>
      <c r="AA32" s="549"/>
      <c r="AB32" s="95"/>
      <c r="AC32" s="13"/>
      <c r="AD32" s="276"/>
      <c r="AE32" s="268"/>
      <c r="AF32" s="644"/>
      <c r="AG32" s="198"/>
      <c r="AH32" s="199"/>
      <c r="AI32" s="200"/>
      <c r="AJ32" s="197"/>
      <c r="AK32" s="91"/>
      <c r="AL32"/>
      <c r="AM32"/>
      <c r="AN32"/>
      <c r="AO32"/>
      <c r="AP32"/>
      <c r="AQ32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</row>
    <row r="33" spans="1:86" s="1" customFormat="1" ht="18" hidden="1" customHeight="1">
      <c r="A33" s="541"/>
      <c r="B33" s="645"/>
      <c r="C33" s="201"/>
      <c r="D33" s="202"/>
      <c r="E33" s="203"/>
      <c r="F33" s="204"/>
      <c r="G33" s="547"/>
      <c r="H33" s="95"/>
      <c r="I33" s="13"/>
      <c r="J33" s="276"/>
      <c r="K33" s="268"/>
      <c r="L33" s="550"/>
      <c r="M33" s="95"/>
      <c r="N33" s="13"/>
      <c r="O33" s="276"/>
      <c r="P33" s="269"/>
      <c r="Q33" s="550"/>
      <c r="R33" s="95"/>
      <c r="S33" s="13"/>
      <c r="T33" s="276"/>
      <c r="U33" s="269"/>
      <c r="V33" s="550"/>
      <c r="W33" s="95"/>
      <c r="X33" s="13"/>
      <c r="Y33" s="276"/>
      <c r="Z33" s="269"/>
      <c r="AA33" s="550"/>
      <c r="AB33" s="95"/>
      <c r="AC33" s="13"/>
      <c r="AD33" s="276"/>
      <c r="AE33" s="269"/>
      <c r="AF33" s="645"/>
      <c r="AG33" s="205"/>
      <c r="AH33" s="206"/>
      <c r="AI33" s="207"/>
      <c r="AJ33" s="204"/>
      <c r="AK33" s="91"/>
      <c r="AL33"/>
      <c r="AM33"/>
      <c r="AN33"/>
      <c r="AO33"/>
      <c r="AP33"/>
      <c r="AQ33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</row>
    <row r="34" spans="1:86" s="1" customFormat="1" ht="18" customHeight="1">
      <c r="A34" s="539" t="s">
        <v>48</v>
      </c>
      <c r="B34" s="643"/>
      <c r="C34" s="187"/>
      <c r="D34" s="188"/>
      <c r="E34" s="189"/>
      <c r="F34" s="190"/>
      <c r="G34" s="639"/>
      <c r="H34" s="93"/>
      <c r="I34" s="9"/>
      <c r="J34" s="253"/>
      <c r="K34" s="223"/>
      <c r="L34" s="567"/>
      <c r="M34" s="93"/>
      <c r="N34" s="9"/>
      <c r="O34" s="253"/>
      <c r="P34" s="223"/>
      <c r="Q34" s="567"/>
      <c r="R34" s="93"/>
      <c r="S34" s="9"/>
      <c r="T34" s="253"/>
      <c r="U34" s="223"/>
      <c r="V34" s="567"/>
      <c r="W34" s="93"/>
      <c r="X34" s="9"/>
      <c r="Y34" s="253"/>
      <c r="Z34" s="223"/>
      <c r="AA34" s="567"/>
      <c r="AB34" s="93"/>
      <c r="AC34" s="9"/>
      <c r="AD34" s="253"/>
      <c r="AE34" s="318"/>
      <c r="AF34" s="643"/>
      <c r="AG34" s="191"/>
      <c r="AH34" s="192"/>
      <c r="AI34" s="193"/>
      <c r="AJ34" s="190"/>
      <c r="AK34" s="91"/>
      <c r="AL34"/>
      <c r="AM34"/>
      <c r="AN34"/>
      <c r="AO34"/>
      <c r="AP34"/>
      <c r="AQ3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</row>
    <row r="35" spans="1:86" s="1" customFormat="1" ht="18" customHeight="1">
      <c r="A35" s="540"/>
      <c r="B35" s="644"/>
      <c r="C35" s="194"/>
      <c r="D35" s="195"/>
      <c r="E35" s="196"/>
      <c r="F35" s="197"/>
      <c r="G35" s="640"/>
      <c r="H35" s="97"/>
      <c r="I35" s="13"/>
      <c r="J35" s="254"/>
      <c r="K35" s="255"/>
      <c r="L35" s="568"/>
      <c r="M35" s="97"/>
      <c r="N35" s="13"/>
      <c r="O35" s="254"/>
      <c r="P35" s="255"/>
      <c r="Q35" s="568"/>
      <c r="R35" s="97"/>
      <c r="S35" s="13"/>
      <c r="T35" s="254"/>
      <c r="U35" s="255"/>
      <c r="V35" s="568"/>
      <c r="W35" s="97"/>
      <c r="X35" s="13"/>
      <c r="Y35" s="254"/>
      <c r="Z35" s="255"/>
      <c r="AA35" s="568"/>
      <c r="AB35" s="97"/>
      <c r="AC35" s="13"/>
      <c r="AD35" s="254"/>
      <c r="AE35" s="260"/>
      <c r="AF35" s="644"/>
      <c r="AG35" s="198"/>
      <c r="AH35" s="199"/>
      <c r="AI35" s="200"/>
      <c r="AJ35" s="197"/>
      <c r="AK35" s="91"/>
      <c r="AL35"/>
      <c r="AM35"/>
      <c r="AN35"/>
      <c r="AO35"/>
      <c r="AP35"/>
      <c r="AQ35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</row>
    <row r="36" spans="1:86" s="1" customFormat="1" ht="18" customHeight="1">
      <c r="A36" s="540"/>
      <c r="B36" s="644"/>
      <c r="C36" s="194"/>
      <c r="D36" s="195"/>
      <c r="E36" s="196"/>
      <c r="F36" s="197"/>
      <c r="G36" s="640"/>
      <c r="H36" s="97"/>
      <c r="I36" s="13"/>
      <c r="J36" s="254"/>
      <c r="K36" s="255"/>
      <c r="L36" s="568"/>
      <c r="M36" s="97"/>
      <c r="N36" s="13"/>
      <c r="O36" s="254"/>
      <c r="P36" s="255"/>
      <c r="Q36" s="568"/>
      <c r="R36" s="97"/>
      <c r="S36" s="13"/>
      <c r="T36" s="254"/>
      <c r="U36" s="255"/>
      <c r="V36" s="568"/>
      <c r="W36" s="97"/>
      <c r="X36" s="13"/>
      <c r="Y36" s="254"/>
      <c r="Z36" s="255"/>
      <c r="AA36" s="568"/>
      <c r="AB36" s="97"/>
      <c r="AC36" s="13"/>
      <c r="AD36" s="254"/>
      <c r="AE36" s="260"/>
      <c r="AF36" s="644"/>
      <c r="AG36" s="198"/>
      <c r="AH36" s="199"/>
      <c r="AI36" s="200"/>
      <c r="AJ36" s="197"/>
      <c r="AK36" s="91"/>
      <c r="AL36"/>
      <c r="AM36"/>
      <c r="AN36"/>
      <c r="AO36"/>
      <c r="AP36"/>
      <c r="AQ36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</row>
    <row r="37" spans="1:86" s="1" customFormat="1" ht="18" customHeight="1">
      <c r="A37" s="540"/>
      <c r="B37" s="644"/>
      <c r="C37" s="194"/>
      <c r="D37" s="195"/>
      <c r="E37" s="196"/>
      <c r="F37" s="197"/>
      <c r="G37" s="640"/>
      <c r="H37" s="97"/>
      <c r="I37" s="13"/>
      <c r="J37" s="254"/>
      <c r="K37" s="255"/>
      <c r="L37" s="568"/>
      <c r="M37" s="97"/>
      <c r="N37" s="13"/>
      <c r="O37" s="254"/>
      <c r="P37" s="255"/>
      <c r="Q37" s="568"/>
      <c r="R37" s="97"/>
      <c r="S37" s="13"/>
      <c r="T37" s="254"/>
      <c r="U37" s="255"/>
      <c r="V37" s="568"/>
      <c r="W37" s="97"/>
      <c r="X37" s="13"/>
      <c r="Y37" s="254"/>
      <c r="Z37" s="255"/>
      <c r="AA37" s="568"/>
      <c r="AB37" s="97"/>
      <c r="AC37" s="13"/>
      <c r="AD37" s="254"/>
      <c r="AE37" s="255"/>
      <c r="AF37" s="644"/>
      <c r="AG37" s="198"/>
      <c r="AH37" s="199"/>
      <c r="AI37" s="200"/>
      <c r="AJ37" s="197"/>
      <c r="AK37" s="91"/>
      <c r="AL37"/>
      <c r="AM37"/>
      <c r="AN37"/>
      <c r="AO37"/>
      <c r="AP37"/>
      <c r="AQ37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</row>
    <row r="38" spans="1:86" s="1" customFormat="1" ht="18" customHeight="1">
      <c r="A38" s="540"/>
      <c r="B38" s="644"/>
      <c r="C38" s="194"/>
      <c r="D38" s="195"/>
      <c r="E38" s="196"/>
      <c r="F38" s="197"/>
      <c r="G38" s="640"/>
      <c r="H38" s="97"/>
      <c r="I38" s="13"/>
      <c r="J38" s="254"/>
      <c r="K38" s="255"/>
      <c r="L38" s="568"/>
      <c r="M38" s="97"/>
      <c r="N38" s="13"/>
      <c r="O38" s="254"/>
      <c r="P38" s="255"/>
      <c r="Q38" s="568"/>
      <c r="R38" s="97"/>
      <c r="S38" s="13"/>
      <c r="T38" s="254"/>
      <c r="U38" s="255"/>
      <c r="V38" s="568"/>
      <c r="W38" s="97"/>
      <c r="X38" s="13"/>
      <c r="Y38" s="254"/>
      <c r="Z38" s="255"/>
      <c r="AA38" s="568"/>
      <c r="AB38" s="97"/>
      <c r="AC38" s="13"/>
      <c r="AD38" s="254"/>
      <c r="AE38" s="255"/>
      <c r="AF38" s="644"/>
      <c r="AG38" s="198"/>
      <c r="AH38" s="199"/>
      <c r="AI38" s="200"/>
      <c r="AJ38" s="197"/>
      <c r="AK38" s="91"/>
      <c r="AL38"/>
      <c r="AM38"/>
      <c r="AN38"/>
      <c r="AO38"/>
      <c r="AP38"/>
      <c r="AQ38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</row>
    <row r="39" spans="1:86" s="1" customFormat="1" ht="18" customHeight="1">
      <c r="A39" s="540"/>
      <c r="B39" s="644"/>
      <c r="C39" s="194"/>
      <c r="D39" s="195"/>
      <c r="E39" s="196"/>
      <c r="F39" s="197"/>
      <c r="G39" s="640"/>
      <c r="H39" s="97"/>
      <c r="I39" s="13"/>
      <c r="J39" s="254"/>
      <c r="K39" s="263"/>
      <c r="L39" s="568"/>
      <c r="M39" s="97"/>
      <c r="N39" s="13"/>
      <c r="O39" s="254"/>
      <c r="P39" s="260"/>
      <c r="Q39" s="568"/>
      <c r="R39" s="97"/>
      <c r="S39" s="13"/>
      <c r="T39" s="254"/>
      <c r="U39" s="255"/>
      <c r="V39" s="568"/>
      <c r="W39" s="97"/>
      <c r="X39" s="13"/>
      <c r="Y39" s="254"/>
      <c r="Z39" s="255"/>
      <c r="AA39" s="568"/>
      <c r="AB39" s="97"/>
      <c r="AC39" s="13"/>
      <c r="AD39" s="254"/>
      <c r="AE39" s="255"/>
      <c r="AF39" s="644"/>
      <c r="AG39" s="198"/>
      <c r="AH39" s="199"/>
      <c r="AI39" s="200"/>
      <c r="AJ39" s="197"/>
      <c r="AK39" s="91"/>
      <c r="AL39"/>
      <c r="AM39"/>
      <c r="AN39"/>
      <c r="AO39"/>
      <c r="AP39"/>
      <c r="AQ39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</row>
    <row r="40" spans="1:86" s="1" customFormat="1" ht="18" customHeight="1">
      <c r="A40" s="540"/>
      <c r="B40" s="644"/>
      <c r="C40" s="194"/>
      <c r="D40" s="195"/>
      <c r="E40" s="196"/>
      <c r="F40" s="197"/>
      <c r="G40" s="640"/>
      <c r="H40" s="97"/>
      <c r="I40" s="13"/>
      <c r="J40" s="254"/>
      <c r="K40" s="255"/>
      <c r="L40" s="568"/>
      <c r="M40" s="97"/>
      <c r="N40" s="13"/>
      <c r="O40" s="254"/>
      <c r="P40" s="255"/>
      <c r="Q40" s="568"/>
      <c r="R40" s="97"/>
      <c r="S40" s="13"/>
      <c r="T40" s="254"/>
      <c r="U40" s="255"/>
      <c r="V40" s="568"/>
      <c r="W40" s="97"/>
      <c r="X40" s="13"/>
      <c r="Y40" s="254"/>
      <c r="Z40" s="255"/>
      <c r="AA40" s="568"/>
      <c r="AB40" s="97"/>
      <c r="AC40" s="13"/>
      <c r="AD40" s="254"/>
      <c r="AE40" s="255"/>
      <c r="AF40" s="644"/>
      <c r="AG40" s="198"/>
      <c r="AH40" s="199"/>
      <c r="AI40" s="200"/>
      <c r="AJ40" s="197"/>
      <c r="AK40" s="91"/>
      <c r="AL40"/>
      <c r="AM40"/>
      <c r="AN40"/>
      <c r="AO40"/>
      <c r="AP40"/>
      <c r="AQ40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</row>
    <row r="41" spans="1:86" s="1" customFormat="1" ht="18" customHeight="1">
      <c r="A41" s="540"/>
      <c r="B41" s="644"/>
      <c r="C41" s="194"/>
      <c r="D41" s="195"/>
      <c r="E41" s="196"/>
      <c r="F41" s="197"/>
      <c r="G41" s="640"/>
      <c r="H41" s="97"/>
      <c r="I41" s="13"/>
      <c r="J41" s="254"/>
      <c r="K41" s="255"/>
      <c r="L41" s="568"/>
      <c r="M41" s="97"/>
      <c r="N41" s="13"/>
      <c r="O41" s="254"/>
      <c r="P41" s="255"/>
      <c r="Q41" s="568"/>
      <c r="R41" s="97"/>
      <c r="S41" s="13"/>
      <c r="T41" s="254"/>
      <c r="U41" s="255"/>
      <c r="V41" s="568"/>
      <c r="W41" s="97"/>
      <c r="X41" s="13"/>
      <c r="Y41" s="254"/>
      <c r="Z41" s="255"/>
      <c r="AA41" s="568"/>
      <c r="AB41" s="97"/>
      <c r="AC41" s="13"/>
      <c r="AD41" s="254"/>
      <c r="AE41" s="255"/>
      <c r="AF41" s="644"/>
      <c r="AG41" s="198"/>
      <c r="AH41" s="199"/>
      <c r="AI41" s="200"/>
      <c r="AJ41" s="197"/>
      <c r="AK41" s="91"/>
      <c r="AL41"/>
      <c r="AM41"/>
      <c r="AN41"/>
      <c r="AO41"/>
      <c r="AP41"/>
      <c r="AQ41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</row>
    <row r="42" spans="1:86" s="1" customFormat="1" ht="18" customHeight="1" thickBot="1">
      <c r="A42" s="540"/>
      <c r="B42" s="644"/>
      <c r="C42" s="194"/>
      <c r="D42" s="195"/>
      <c r="E42" s="196"/>
      <c r="F42" s="197"/>
      <c r="G42" s="640"/>
      <c r="H42" s="94"/>
      <c r="I42" s="14"/>
      <c r="J42" s="254"/>
      <c r="K42" s="257"/>
      <c r="L42" s="568"/>
      <c r="M42" s="94"/>
      <c r="N42" s="14"/>
      <c r="O42" s="254"/>
      <c r="P42" s="257"/>
      <c r="Q42" s="568"/>
      <c r="R42" s="330"/>
      <c r="S42" s="14"/>
      <c r="T42" s="254"/>
      <c r="U42" s="257"/>
      <c r="V42" s="568"/>
      <c r="W42" s="94"/>
      <c r="X42" s="14"/>
      <c r="Y42" s="254"/>
      <c r="Z42" s="257"/>
      <c r="AA42" s="568"/>
      <c r="AB42" s="94"/>
      <c r="AC42" s="14"/>
      <c r="AD42" s="254"/>
      <c r="AE42" s="257"/>
      <c r="AF42" s="644"/>
      <c r="AG42" s="198"/>
      <c r="AH42" s="199"/>
      <c r="AI42" s="200"/>
      <c r="AJ42" s="197"/>
      <c r="AK42" s="91"/>
      <c r="AL42"/>
      <c r="AM42"/>
      <c r="AN42"/>
      <c r="AO42"/>
      <c r="AP42"/>
      <c r="AQ42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</row>
    <row r="43" spans="1:86" s="1" customFormat="1" ht="18" hidden="1" customHeight="1" thickBot="1">
      <c r="A43" s="540"/>
      <c r="B43" s="644"/>
      <c r="C43" s="194"/>
      <c r="D43" s="195"/>
      <c r="E43" s="196"/>
      <c r="F43" s="197"/>
      <c r="G43" s="640"/>
      <c r="H43" s="95"/>
      <c r="I43" s="13"/>
      <c r="J43" s="254"/>
      <c r="K43" s="255"/>
      <c r="L43" s="568"/>
      <c r="M43" s="95"/>
      <c r="N43" s="13"/>
      <c r="O43" s="254"/>
      <c r="P43" s="255"/>
      <c r="Q43" s="568"/>
      <c r="R43" s="95"/>
      <c r="S43" s="13"/>
      <c r="T43" s="254"/>
      <c r="U43" s="255"/>
      <c r="V43" s="568"/>
      <c r="W43" s="95"/>
      <c r="X43" s="13"/>
      <c r="Y43" s="254"/>
      <c r="Z43" s="255"/>
      <c r="AA43" s="568"/>
      <c r="AB43" s="95"/>
      <c r="AC43" s="13"/>
      <c r="AD43" s="254"/>
      <c r="AE43" s="255"/>
      <c r="AF43" s="644"/>
      <c r="AG43" s="198"/>
      <c r="AH43" s="199"/>
      <c r="AI43" s="200"/>
      <c r="AJ43" s="197"/>
      <c r="AK43" s="91"/>
      <c r="AL43"/>
      <c r="AM43"/>
      <c r="AN43"/>
      <c r="AO43"/>
      <c r="AP43"/>
      <c r="AQ43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</row>
    <row r="44" spans="1:86" s="1" customFormat="1" ht="18" hidden="1" customHeight="1" thickBot="1">
      <c r="A44" s="540"/>
      <c r="B44" s="644"/>
      <c r="C44" s="194"/>
      <c r="D44" s="195"/>
      <c r="E44" s="196"/>
      <c r="F44" s="197"/>
      <c r="G44" s="640"/>
      <c r="H44" s="95"/>
      <c r="I44" s="13"/>
      <c r="J44" s="254"/>
      <c r="K44" s="255"/>
      <c r="L44" s="568"/>
      <c r="M44" s="95"/>
      <c r="N44" s="13"/>
      <c r="O44" s="254"/>
      <c r="P44" s="255"/>
      <c r="Q44" s="568"/>
      <c r="R44" s="95"/>
      <c r="S44" s="13"/>
      <c r="T44" s="254"/>
      <c r="U44" s="255"/>
      <c r="V44" s="568"/>
      <c r="W44" s="95"/>
      <c r="X44" s="13"/>
      <c r="Y44" s="254"/>
      <c r="Z44" s="255"/>
      <c r="AA44" s="568"/>
      <c r="AB44" s="95"/>
      <c r="AC44" s="13"/>
      <c r="AD44" s="254"/>
      <c r="AE44" s="255"/>
      <c r="AF44" s="644"/>
      <c r="AG44" s="198"/>
      <c r="AH44" s="199"/>
      <c r="AI44" s="200"/>
      <c r="AJ44" s="197"/>
      <c r="AK44" s="91"/>
      <c r="AL44"/>
      <c r="AM44"/>
      <c r="AN44"/>
      <c r="AO44"/>
      <c r="AP44"/>
      <c r="AQ4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</row>
    <row r="45" spans="1:86" s="1" customFormat="1" ht="18" hidden="1" customHeight="1">
      <c r="A45" s="540"/>
      <c r="B45" s="644"/>
      <c r="C45" s="194"/>
      <c r="D45" s="195"/>
      <c r="E45" s="196"/>
      <c r="F45" s="197"/>
      <c r="G45" s="640"/>
      <c r="H45" s="95"/>
      <c r="I45" s="13"/>
      <c r="J45" s="254"/>
      <c r="K45" s="255"/>
      <c r="L45" s="568"/>
      <c r="M45" s="95"/>
      <c r="N45" s="13"/>
      <c r="O45" s="254"/>
      <c r="P45" s="255"/>
      <c r="Q45" s="568"/>
      <c r="R45" s="95"/>
      <c r="S45" s="13"/>
      <c r="T45" s="254"/>
      <c r="U45" s="255"/>
      <c r="V45" s="568"/>
      <c r="W45" s="95"/>
      <c r="X45" s="13"/>
      <c r="Y45" s="254"/>
      <c r="Z45" s="255"/>
      <c r="AA45" s="568"/>
      <c r="AB45" s="95"/>
      <c r="AC45" s="13"/>
      <c r="AD45" s="254"/>
      <c r="AE45" s="255"/>
      <c r="AF45" s="644"/>
      <c r="AG45" s="198"/>
      <c r="AH45" s="199"/>
      <c r="AI45" s="200"/>
      <c r="AJ45" s="197"/>
      <c r="AK45" s="91"/>
      <c r="AL45"/>
      <c r="AM45"/>
      <c r="AN45"/>
      <c r="AO45"/>
      <c r="AP45"/>
      <c r="AQ45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</row>
    <row r="46" spans="1:86" s="1" customFormat="1" ht="18" hidden="1" customHeight="1">
      <c r="A46" s="540"/>
      <c r="B46" s="644"/>
      <c r="C46" s="194"/>
      <c r="D46" s="195"/>
      <c r="E46" s="196"/>
      <c r="F46" s="197"/>
      <c r="G46" s="640"/>
      <c r="H46" s="95"/>
      <c r="I46" s="13"/>
      <c r="J46" s="254"/>
      <c r="K46" s="255"/>
      <c r="L46" s="568"/>
      <c r="M46" s="95"/>
      <c r="N46" s="13"/>
      <c r="O46" s="254"/>
      <c r="P46" s="255"/>
      <c r="Q46" s="568"/>
      <c r="R46" s="95"/>
      <c r="S46" s="13"/>
      <c r="T46" s="254"/>
      <c r="U46" s="255"/>
      <c r="V46" s="568"/>
      <c r="W46" s="95"/>
      <c r="X46" s="13"/>
      <c r="Y46" s="254"/>
      <c r="Z46" s="255"/>
      <c r="AA46" s="568"/>
      <c r="AB46" s="95"/>
      <c r="AC46" s="13"/>
      <c r="AD46" s="254"/>
      <c r="AE46" s="255"/>
      <c r="AF46" s="644"/>
      <c r="AG46" s="198"/>
      <c r="AH46" s="199"/>
      <c r="AI46" s="200"/>
      <c r="AJ46" s="197"/>
      <c r="AK46" s="91"/>
      <c r="AL46"/>
      <c r="AM46"/>
      <c r="AN46"/>
      <c r="AO46"/>
      <c r="AP46"/>
      <c r="AQ46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</row>
    <row r="47" spans="1:86" s="1" customFormat="1" ht="18" hidden="1" customHeight="1">
      <c r="A47" s="540"/>
      <c r="B47" s="644"/>
      <c r="C47" s="194"/>
      <c r="D47" s="195"/>
      <c r="E47" s="196"/>
      <c r="F47" s="197"/>
      <c r="G47" s="640"/>
      <c r="H47" s="95"/>
      <c r="I47" s="13"/>
      <c r="J47" s="254"/>
      <c r="K47" s="255"/>
      <c r="L47" s="568"/>
      <c r="M47" s="95"/>
      <c r="N47" s="13"/>
      <c r="O47" s="254"/>
      <c r="P47" s="255"/>
      <c r="Q47" s="568"/>
      <c r="R47" s="95"/>
      <c r="S47" s="13"/>
      <c r="T47" s="254"/>
      <c r="U47" s="255"/>
      <c r="V47" s="568"/>
      <c r="W47" s="95"/>
      <c r="X47" s="13"/>
      <c r="Y47" s="254"/>
      <c r="Z47" s="255"/>
      <c r="AA47" s="568"/>
      <c r="AB47" s="95"/>
      <c r="AC47" s="13"/>
      <c r="AD47" s="254"/>
      <c r="AE47" s="255"/>
      <c r="AF47" s="644"/>
      <c r="AG47" s="198"/>
      <c r="AH47" s="199"/>
      <c r="AI47" s="200"/>
      <c r="AJ47" s="197"/>
      <c r="AK47" s="91"/>
      <c r="AL47"/>
      <c r="AM47"/>
      <c r="AN47"/>
      <c r="AO47"/>
      <c r="AP47"/>
      <c r="AQ47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</row>
    <row r="48" spans="1:86" s="1" customFormat="1" ht="18" hidden="1" customHeight="1">
      <c r="A48" s="541"/>
      <c r="B48" s="645"/>
      <c r="C48" s="201"/>
      <c r="D48" s="202"/>
      <c r="E48" s="203"/>
      <c r="F48" s="204"/>
      <c r="G48" s="641"/>
      <c r="H48" s="95"/>
      <c r="I48" s="13"/>
      <c r="J48" s="254"/>
      <c r="K48" s="255"/>
      <c r="L48" s="568"/>
      <c r="M48" s="95"/>
      <c r="N48" s="13"/>
      <c r="O48" s="254"/>
      <c r="P48" s="255"/>
      <c r="Q48" s="568"/>
      <c r="R48" s="95"/>
      <c r="S48" s="13"/>
      <c r="T48" s="254"/>
      <c r="U48" s="255"/>
      <c r="V48" s="568"/>
      <c r="W48" s="95"/>
      <c r="X48" s="13"/>
      <c r="Y48" s="254"/>
      <c r="Z48" s="255"/>
      <c r="AA48" s="568"/>
      <c r="AB48" s="95"/>
      <c r="AC48" s="13"/>
      <c r="AD48" s="254"/>
      <c r="AE48" s="255"/>
      <c r="AF48" s="645"/>
      <c r="AG48" s="205"/>
      <c r="AH48" s="206"/>
      <c r="AI48" s="207"/>
      <c r="AJ48" s="204"/>
      <c r="AK48" s="91"/>
      <c r="AL48"/>
      <c r="AM48"/>
      <c r="AN48"/>
      <c r="AO48"/>
      <c r="AP48"/>
      <c r="AQ48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</row>
    <row r="49" spans="1:86" s="1" customFormat="1" ht="18" customHeight="1">
      <c r="A49" s="539" t="s">
        <v>49</v>
      </c>
      <c r="B49" s="643"/>
      <c r="C49" s="187"/>
      <c r="D49" s="188"/>
      <c r="E49" s="189"/>
      <c r="F49" s="190"/>
      <c r="G49" s="561"/>
      <c r="H49" s="93"/>
      <c r="I49" s="9"/>
      <c r="J49" s="253"/>
      <c r="K49" s="267"/>
      <c r="L49" s="561"/>
      <c r="M49" s="99"/>
      <c r="N49" s="9"/>
      <c r="O49" s="253"/>
      <c r="P49" s="267"/>
      <c r="Q49" s="567"/>
      <c r="R49" s="99"/>
      <c r="S49" s="9"/>
      <c r="T49" s="253"/>
      <c r="U49" s="331"/>
      <c r="V49" s="561"/>
      <c r="W49" s="99"/>
      <c r="X49" s="9"/>
      <c r="Y49" s="253"/>
      <c r="Z49" s="267"/>
      <c r="AA49" s="561"/>
      <c r="AB49" s="99"/>
      <c r="AC49" s="9"/>
      <c r="AD49" s="253"/>
      <c r="AE49" s="267"/>
      <c r="AF49" s="643"/>
      <c r="AG49" s="191"/>
      <c r="AH49" s="192"/>
      <c r="AI49" s="193"/>
      <c r="AJ49" s="190"/>
      <c r="AK49" s="91"/>
      <c r="AL49"/>
      <c r="AM49"/>
      <c r="AN49"/>
      <c r="AO49"/>
      <c r="AP49"/>
      <c r="AQ49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</row>
    <row r="50" spans="1:86" s="1" customFormat="1" ht="18" customHeight="1">
      <c r="A50" s="540"/>
      <c r="B50" s="644"/>
      <c r="C50" s="194"/>
      <c r="D50" s="195"/>
      <c r="E50" s="196"/>
      <c r="F50" s="197"/>
      <c r="G50" s="562"/>
      <c r="H50" s="97"/>
      <c r="I50" s="13"/>
      <c r="J50" s="254"/>
      <c r="K50" s="255"/>
      <c r="L50" s="562"/>
      <c r="M50" s="95"/>
      <c r="N50" s="13"/>
      <c r="O50" s="254"/>
      <c r="P50" s="255"/>
      <c r="Q50" s="568"/>
      <c r="R50" s="95"/>
      <c r="S50" s="13"/>
      <c r="T50" s="254"/>
      <c r="U50" s="263"/>
      <c r="V50" s="562"/>
      <c r="W50" s="95"/>
      <c r="X50" s="13"/>
      <c r="Y50" s="254"/>
      <c r="Z50" s="255"/>
      <c r="AA50" s="562"/>
      <c r="AB50" s="95"/>
      <c r="AC50" s="13"/>
      <c r="AD50" s="254"/>
      <c r="AE50" s="255"/>
      <c r="AF50" s="644"/>
      <c r="AG50" s="198"/>
      <c r="AH50" s="199"/>
      <c r="AI50" s="200"/>
      <c r="AJ50" s="197"/>
      <c r="AK50" s="91"/>
      <c r="AL50"/>
      <c r="AM50"/>
      <c r="AN50"/>
      <c r="AO50"/>
      <c r="AP50"/>
      <c r="AQ50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</row>
    <row r="51" spans="1:86" s="1" customFormat="1" ht="18" customHeight="1">
      <c r="A51" s="540"/>
      <c r="B51" s="644"/>
      <c r="C51" s="194"/>
      <c r="D51" s="195"/>
      <c r="E51" s="196"/>
      <c r="F51" s="197"/>
      <c r="G51" s="562"/>
      <c r="H51" s="97"/>
      <c r="I51" s="13"/>
      <c r="J51" s="254"/>
      <c r="K51" s="255"/>
      <c r="L51" s="562"/>
      <c r="M51" s="95"/>
      <c r="N51" s="13"/>
      <c r="O51" s="254"/>
      <c r="P51" s="255"/>
      <c r="Q51" s="568"/>
      <c r="R51" s="95"/>
      <c r="S51" s="13"/>
      <c r="T51" s="254"/>
      <c r="U51" s="255"/>
      <c r="V51" s="562"/>
      <c r="W51" s="95"/>
      <c r="X51" s="13"/>
      <c r="Y51" s="254"/>
      <c r="Z51" s="255"/>
      <c r="AA51" s="562"/>
      <c r="AB51" s="95"/>
      <c r="AC51" s="13"/>
      <c r="AD51" s="254"/>
      <c r="AE51" s="255"/>
      <c r="AF51" s="644"/>
      <c r="AG51" s="198"/>
      <c r="AH51" s="199"/>
      <c r="AI51" s="200"/>
      <c r="AJ51" s="197"/>
      <c r="AK51" s="91"/>
      <c r="AL51"/>
      <c r="AM51"/>
      <c r="AN51"/>
      <c r="AO51"/>
      <c r="AP51"/>
      <c r="AQ51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</row>
    <row r="52" spans="1:86" s="1" customFormat="1" ht="18" customHeight="1" thickBot="1">
      <c r="A52" s="540"/>
      <c r="B52" s="644"/>
      <c r="C52" s="194"/>
      <c r="D52" s="195"/>
      <c r="E52" s="196"/>
      <c r="F52" s="197"/>
      <c r="G52" s="562"/>
      <c r="H52" s="97"/>
      <c r="I52" s="13"/>
      <c r="J52" s="254"/>
      <c r="K52" s="255"/>
      <c r="L52" s="562"/>
      <c r="M52" s="95"/>
      <c r="N52" s="13"/>
      <c r="O52" s="254"/>
      <c r="P52" s="255"/>
      <c r="Q52" s="568"/>
      <c r="R52" s="95"/>
      <c r="S52" s="13"/>
      <c r="T52" s="254"/>
      <c r="U52" s="255"/>
      <c r="V52" s="562"/>
      <c r="W52" s="95"/>
      <c r="X52" s="13"/>
      <c r="Y52" s="254"/>
      <c r="Z52" s="255"/>
      <c r="AA52" s="562"/>
      <c r="AB52" s="95"/>
      <c r="AC52" s="13"/>
      <c r="AD52" s="254"/>
      <c r="AE52" s="255"/>
      <c r="AF52" s="644"/>
      <c r="AG52" s="198"/>
      <c r="AH52" s="199"/>
      <c r="AI52" s="200"/>
      <c r="AJ52" s="197"/>
      <c r="AK52" s="91"/>
      <c r="AL52"/>
      <c r="AM52"/>
      <c r="AN52"/>
      <c r="AO52"/>
      <c r="AP52"/>
      <c r="AQ52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</row>
    <row r="53" spans="1:86" s="1" customFormat="1" ht="18" hidden="1" customHeight="1" thickBot="1">
      <c r="A53" s="540"/>
      <c r="B53" s="644"/>
      <c r="C53" s="194"/>
      <c r="D53" s="195"/>
      <c r="E53" s="196"/>
      <c r="F53" s="197"/>
      <c r="G53" s="562"/>
      <c r="H53" s="97"/>
      <c r="I53" s="13"/>
      <c r="J53" s="254"/>
      <c r="K53" s="255"/>
      <c r="L53" s="562"/>
      <c r="M53" s="95"/>
      <c r="N53" s="13"/>
      <c r="O53" s="254"/>
      <c r="P53" s="255"/>
      <c r="Q53" s="568"/>
      <c r="R53" s="95"/>
      <c r="S53" s="13"/>
      <c r="T53" s="254"/>
      <c r="U53" s="255"/>
      <c r="V53" s="562"/>
      <c r="W53" s="95"/>
      <c r="X53" s="13"/>
      <c r="Y53" s="254"/>
      <c r="Z53" s="255"/>
      <c r="AA53" s="562"/>
      <c r="AB53" s="95"/>
      <c r="AC53" s="13"/>
      <c r="AD53" s="254"/>
      <c r="AE53" s="255"/>
      <c r="AF53" s="644"/>
      <c r="AG53" s="198"/>
      <c r="AH53" s="199"/>
      <c r="AI53" s="200"/>
      <c r="AJ53" s="197"/>
      <c r="AK53" s="91"/>
      <c r="AL53"/>
      <c r="AM53"/>
      <c r="AN53"/>
      <c r="AO53"/>
      <c r="AP53"/>
      <c r="AQ53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</row>
    <row r="54" spans="1:86" s="1" customFormat="1" ht="18" hidden="1" customHeight="1">
      <c r="A54" s="540"/>
      <c r="B54" s="644"/>
      <c r="C54" s="194"/>
      <c r="D54" s="195"/>
      <c r="E54" s="196"/>
      <c r="F54" s="197"/>
      <c r="G54" s="562"/>
      <c r="H54" s="97"/>
      <c r="I54" s="13"/>
      <c r="J54" s="254"/>
      <c r="K54" s="255"/>
      <c r="L54" s="562"/>
      <c r="M54" s="95"/>
      <c r="N54" s="13"/>
      <c r="O54" s="254"/>
      <c r="P54" s="255"/>
      <c r="Q54" s="568"/>
      <c r="R54" s="95"/>
      <c r="S54" s="13"/>
      <c r="T54" s="254"/>
      <c r="U54" s="255"/>
      <c r="V54" s="562"/>
      <c r="W54" s="95"/>
      <c r="X54" s="13"/>
      <c r="Y54" s="254"/>
      <c r="Z54" s="255"/>
      <c r="AA54" s="562"/>
      <c r="AB54" s="95"/>
      <c r="AC54" s="13"/>
      <c r="AD54" s="254"/>
      <c r="AE54" s="255"/>
      <c r="AF54" s="644"/>
      <c r="AG54" s="198"/>
      <c r="AH54" s="199"/>
      <c r="AI54" s="200"/>
      <c r="AJ54" s="197"/>
      <c r="AK54" s="91"/>
      <c r="AL54"/>
      <c r="AM54"/>
      <c r="AN54"/>
      <c r="AO54"/>
      <c r="AP54"/>
      <c r="AQ5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</row>
    <row r="55" spans="1:86" s="1" customFormat="1" ht="18" hidden="1" customHeight="1">
      <c r="A55" s="540"/>
      <c r="B55" s="644"/>
      <c r="C55" s="194"/>
      <c r="D55" s="195"/>
      <c r="E55" s="196"/>
      <c r="F55" s="197"/>
      <c r="G55" s="562"/>
      <c r="H55" s="97"/>
      <c r="I55" s="13"/>
      <c r="J55" s="254"/>
      <c r="K55" s="255"/>
      <c r="L55" s="562"/>
      <c r="M55" s="95"/>
      <c r="N55" s="13"/>
      <c r="O55" s="254"/>
      <c r="P55" s="255"/>
      <c r="Q55" s="568"/>
      <c r="R55" s="95"/>
      <c r="S55" s="13"/>
      <c r="T55" s="254"/>
      <c r="U55" s="255"/>
      <c r="V55" s="562"/>
      <c r="W55" s="95"/>
      <c r="X55" s="13"/>
      <c r="Y55" s="254"/>
      <c r="Z55" s="255"/>
      <c r="AA55" s="562"/>
      <c r="AB55" s="95"/>
      <c r="AC55" s="13"/>
      <c r="AD55" s="254"/>
      <c r="AE55" s="255"/>
      <c r="AF55" s="644"/>
      <c r="AG55" s="198"/>
      <c r="AH55" s="199"/>
      <c r="AI55" s="200"/>
      <c r="AJ55" s="197"/>
      <c r="AK55" s="91"/>
      <c r="AL55"/>
      <c r="AM55"/>
      <c r="AN55"/>
      <c r="AO55"/>
      <c r="AP55"/>
      <c r="AQ55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</row>
    <row r="56" spans="1:86" s="1" customFormat="1" ht="18" hidden="1" customHeight="1">
      <c r="A56" s="540"/>
      <c r="B56" s="644"/>
      <c r="C56" s="194"/>
      <c r="D56" s="195"/>
      <c r="E56" s="196"/>
      <c r="F56" s="197"/>
      <c r="G56" s="562"/>
      <c r="H56" s="97"/>
      <c r="I56" s="13"/>
      <c r="J56" s="254"/>
      <c r="K56" s="255"/>
      <c r="L56" s="562"/>
      <c r="M56" s="95"/>
      <c r="N56" s="13"/>
      <c r="O56" s="254"/>
      <c r="P56" s="255"/>
      <c r="Q56" s="568"/>
      <c r="R56" s="95"/>
      <c r="S56" s="13"/>
      <c r="T56" s="254"/>
      <c r="U56" s="255"/>
      <c r="V56" s="562"/>
      <c r="W56" s="95"/>
      <c r="X56" s="13"/>
      <c r="Y56" s="254"/>
      <c r="Z56" s="255"/>
      <c r="AA56" s="562"/>
      <c r="AB56" s="95"/>
      <c r="AC56" s="13"/>
      <c r="AD56" s="254"/>
      <c r="AE56" s="255"/>
      <c r="AF56" s="644"/>
      <c r="AG56" s="198"/>
      <c r="AH56" s="199"/>
      <c r="AI56" s="200"/>
      <c r="AJ56" s="197"/>
      <c r="AK56" s="91"/>
      <c r="AL56"/>
      <c r="AM56"/>
      <c r="AN56"/>
      <c r="AO56"/>
      <c r="AP56"/>
      <c r="AQ56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</row>
    <row r="57" spans="1:86" s="1" customFormat="1" ht="18" hidden="1" customHeight="1">
      <c r="A57" s="540"/>
      <c r="B57" s="644"/>
      <c r="C57" s="194"/>
      <c r="D57" s="195"/>
      <c r="E57" s="196"/>
      <c r="F57" s="197"/>
      <c r="G57" s="562"/>
      <c r="H57" s="97"/>
      <c r="I57" s="13"/>
      <c r="J57" s="254"/>
      <c r="K57" s="255"/>
      <c r="L57" s="562"/>
      <c r="M57" s="95"/>
      <c r="N57" s="13"/>
      <c r="O57" s="254"/>
      <c r="P57" s="255"/>
      <c r="Q57" s="568"/>
      <c r="R57" s="95"/>
      <c r="S57" s="13"/>
      <c r="T57" s="254"/>
      <c r="U57" s="255"/>
      <c r="V57" s="562"/>
      <c r="W57" s="95"/>
      <c r="X57" s="13"/>
      <c r="Y57" s="254"/>
      <c r="Z57" s="255"/>
      <c r="AA57" s="562"/>
      <c r="AB57" s="95"/>
      <c r="AC57" s="13"/>
      <c r="AD57" s="254"/>
      <c r="AE57" s="255"/>
      <c r="AF57" s="644"/>
      <c r="AG57" s="198"/>
      <c r="AH57" s="199"/>
      <c r="AI57" s="200"/>
      <c r="AJ57" s="197"/>
      <c r="AK57" s="91"/>
      <c r="AL57"/>
      <c r="AM57"/>
      <c r="AN57"/>
      <c r="AO57"/>
      <c r="AP57"/>
      <c r="AQ57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</row>
    <row r="58" spans="1:86" s="1" customFormat="1" ht="18" hidden="1" customHeight="1">
      <c r="A58" s="540"/>
      <c r="B58" s="644"/>
      <c r="C58" s="194"/>
      <c r="D58" s="195"/>
      <c r="E58" s="196"/>
      <c r="F58" s="197"/>
      <c r="G58" s="562"/>
      <c r="H58" s="97"/>
      <c r="I58" s="13"/>
      <c r="J58" s="254"/>
      <c r="K58" s="255"/>
      <c r="L58" s="562"/>
      <c r="M58" s="95"/>
      <c r="N58" s="13"/>
      <c r="O58" s="254"/>
      <c r="P58" s="255"/>
      <c r="Q58" s="568"/>
      <c r="R58" s="95"/>
      <c r="S58" s="13"/>
      <c r="T58" s="254"/>
      <c r="U58" s="255"/>
      <c r="V58" s="562"/>
      <c r="W58" s="95"/>
      <c r="X58" s="13"/>
      <c r="Y58" s="254"/>
      <c r="Z58" s="255"/>
      <c r="AA58" s="562"/>
      <c r="AB58" s="95"/>
      <c r="AC58" s="13"/>
      <c r="AD58" s="254"/>
      <c r="AE58" s="255"/>
      <c r="AF58" s="644"/>
      <c r="AG58" s="198"/>
      <c r="AH58" s="199"/>
      <c r="AI58" s="200"/>
      <c r="AJ58" s="197"/>
      <c r="AK58" s="91"/>
      <c r="AL58"/>
      <c r="AM58"/>
      <c r="AN58"/>
      <c r="AO58"/>
      <c r="AP58"/>
      <c r="AQ58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</row>
    <row r="59" spans="1:86" s="1" customFormat="1" ht="18" hidden="1" customHeight="1">
      <c r="A59" s="540"/>
      <c r="B59" s="644"/>
      <c r="C59" s="194"/>
      <c r="D59" s="195"/>
      <c r="E59" s="196"/>
      <c r="F59" s="197"/>
      <c r="G59" s="562"/>
      <c r="H59" s="97"/>
      <c r="I59" s="13"/>
      <c r="J59" s="254"/>
      <c r="K59" s="255"/>
      <c r="L59" s="562"/>
      <c r="M59" s="95"/>
      <c r="N59" s="13"/>
      <c r="O59" s="254"/>
      <c r="P59" s="255"/>
      <c r="Q59" s="568"/>
      <c r="R59" s="95"/>
      <c r="S59" s="13"/>
      <c r="T59" s="254"/>
      <c r="U59" s="255"/>
      <c r="V59" s="562"/>
      <c r="W59" s="95"/>
      <c r="X59" s="13"/>
      <c r="Y59" s="254"/>
      <c r="Z59" s="255"/>
      <c r="AA59" s="562"/>
      <c r="AB59" s="95"/>
      <c r="AC59" s="13"/>
      <c r="AD59" s="254"/>
      <c r="AE59" s="255"/>
      <c r="AF59" s="644"/>
      <c r="AG59" s="198"/>
      <c r="AH59" s="199"/>
      <c r="AI59" s="200"/>
      <c r="AJ59" s="197"/>
      <c r="AK59" s="91"/>
      <c r="AL59"/>
      <c r="AM59"/>
      <c r="AN59"/>
      <c r="AO59"/>
      <c r="AP59"/>
      <c r="AQ59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</row>
    <row r="60" spans="1:86" s="1" customFormat="1" ht="18" hidden="1" customHeight="1">
      <c r="A60" s="540"/>
      <c r="B60" s="644"/>
      <c r="C60" s="194"/>
      <c r="D60" s="195"/>
      <c r="E60" s="196"/>
      <c r="F60" s="197"/>
      <c r="G60" s="562"/>
      <c r="H60" s="97"/>
      <c r="I60" s="13"/>
      <c r="J60" s="254"/>
      <c r="K60" s="255"/>
      <c r="L60" s="562"/>
      <c r="M60" s="95"/>
      <c r="N60" s="13"/>
      <c r="O60" s="254"/>
      <c r="P60" s="255"/>
      <c r="Q60" s="568"/>
      <c r="R60" s="95"/>
      <c r="S60" s="13"/>
      <c r="T60" s="254"/>
      <c r="U60" s="255"/>
      <c r="V60" s="562"/>
      <c r="W60" s="95"/>
      <c r="X60" s="13"/>
      <c r="Y60" s="254"/>
      <c r="Z60" s="255"/>
      <c r="AA60" s="562"/>
      <c r="AB60" s="95"/>
      <c r="AC60" s="13"/>
      <c r="AD60" s="254"/>
      <c r="AE60" s="255"/>
      <c r="AF60" s="644"/>
      <c r="AG60" s="198"/>
      <c r="AH60" s="199"/>
      <c r="AI60" s="200"/>
      <c r="AJ60" s="197"/>
      <c r="AK60" s="91"/>
      <c r="AL60"/>
      <c r="AM60"/>
      <c r="AN60"/>
      <c r="AO60"/>
      <c r="AP60"/>
      <c r="AQ60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</row>
    <row r="61" spans="1:86" s="1" customFormat="1" ht="18" hidden="1" customHeight="1">
      <c r="A61" s="540"/>
      <c r="B61" s="644"/>
      <c r="C61" s="194"/>
      <c r="D61" s="195"/>
      <c r="E61" s="196"/>
      <c r="F61" s="197"/>
      <c r="G61" s="562"/>
      <c r="H61" s="97"/>
      <c r="I61" s="13"/>
      <c r="J61" s="254"/>
      <c r="K61" s="255"/>
      <c r="L61" s="562"/>
      <c r="M61" s="95"/>
      <c r="N61" s="13"/>
      <c r="O61" s="254"/>
      <c r="P61" s="255"/>
      <c r="Q61" s="568"/>
      <c r="R61" s="95"/>
      <c r="S61" s="13"/>
      <c r="T61" s="254"/>
      <c r="U61" s="255"/>
      <c r="V61" s="562"/>
      <c r="W61" s="95"/>
      <c r="X61" s="13"/>
      <c r="Y61" s="254"/>
      <c r="Z61" s="255"/>
      <c r="AA61" s="562"/>
      <c r="AB61" s="95"/>
      <c r="AC61" s="13"/>
      <c r="AD61" s="254"/>
      <c r="AE61" s="255"/>
      <c r="AF61" s="644"/>
      <c r="AG61" s="198"/>
      <c r="AH61" s="199"/>
      <c r="AI61" s="200"/>
      <c r="AJ61" s="197"/>
      <c r="AK61" s="91"/>
      <c r="AL61"/>
      <c r="AM61"/>
      <c r="AN61"/>
      <c r="AO61"/>
      <c r="AP61"/>
      <c r="AQ61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</row>
    <row r="62" spans="1:86" s="1" customFormat="1" ht="18" hidden="1" customHeight="1">
      <c r="A62" s="540"/>
      <c r="B62" s="644"/>
      <c r="C62" s="194"/>
      <c r="D62" s="195"/>
      <c r="E62" s="196"/>
      <c r="F62" s="197"/>
      <c r="G62" s="562"/>
      <c r="H62" s="97"/>
      <c r="I62" s="13"/>
      <c r="J62" s="254"/>
      <c r="K62" s="255"/>
      <c r="L62" s="562"/>
      <c r="M62" s="95"/>
      <c r="N62" s="13"/>
      <c r="O62" s="254"/>
      <c r="P62" s="255"/>
      <c r="Q62" s="568"/>
      <c r="R62" s="95"/>
      <c r="S62" s="13"/>
      <c r="T62" s="254"/>
      <c r="U62" s="255"/>
      <c r="V62" s="562"/>
      <c r="W62" s="95"/>
      <c r="X62" s="13"/>
      <c r="Y62" s="254"/>
      <c r="Z62" s="255"/>
      <c r="AA62" s="562"/>
      <c r="AB62" s="95"/>
      <c r="AC62" s="13"/>
      <c r="AD62" s="254"/>
      <c r="AE62" s="255"/>
      <c r="AF62" s="644"/>
      <c r="AG62" s="198"/>
      <c r="AH62" s="199"/>
      <c r="AI62" s="200"/>
      <c r="AJ62" s="197"/>
      <c r="AK62" s="91"/>
      <c r="AL62"/>
      <c r="AM62"/>
      <c r="AN62"/>
      <c r="AO62"/>
      <c r="AP62"/>
      <c r="AQ62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</row>
    <row r="63" spans="1:86" s="1" customFormat="1" ht="18" hidden="1" customHeight="1">
      <c r="A63" s="541"/>
      <c r="B63" s="645"/>
      <c r="C63" s="201"/>
      <c r="D63" s="202"/>
      <c r="E63" s="203"/>
      <c r="F63" s="204"/>
      <c r="G63" s="563"/>
      <c r="H63" s="94"/>
      <c r="I63" s="14"/>
      <c r="J63" s="261"/>
      <c r="K63" s="257"/>
      <c r="L63" s="563"/>
      <c r="M63" s="96"/>
      <c r="N63" s="14"/>
      <c r="O63" s="261"/>
      <c r="P63" s="257"/>
      <c r="Q63" s="569"/>
      <c r="R63" s="96"/>
      <c r="S63" s="14"/>
      <c r="T63" s="261"/>
      <c r="U63" s="257"/>
      <c r="V63" s="563"/>
      <c r="W63" s="96"/>
      <c r="X63" s="14"/>
      <c r="Y63" s="261"/>
      <c r="Z63" s="257"/>
      <c r="AA63" s="563"/>
      <c r="AB63" s="96"/>
      <c r="AC63" s="14"/>
      <c r="AD63" s="261"/>
      <c r="AE63" s="257"/>
      <c r="AF63" s="645"/>
      <c r="AG63" s="205"/>
      <c r="AH63" s="206"/>
      <c r="AI63" s="207"/>
      <c r="AJ63" s="204"/>
      <c r="AK63" s="91"/>
      <c r="AL63"/>
      <c r="AM63"/>
      <c r="AN63"/>
      <c r="AO63"/>
      <c r="AP63"/>
      <c r="AQ63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</row>
    <row r="64" spans="1:86" s="1" customFormat="1" ht="18" hidden="1" customHeight="1">
      <c r="A64" s="539" t="s">
        <v>50</v>
      </c>
      <c r="B64" s="643"/>
      <c r="C64" s="187"/>
      <c r="D64" s="188"/>
      <c r="E64" s="189"/>
      <c r="F64" s="190"/>
      <c r="G64" s="586"/>
      <c r="H64" s="95"/>
      <c r="I64" s="13"/>
      <c r="J64" s="254"/>
      <c r="K64" s="255"/>
      <c r="L64" s="562"/>
      <c r="M64" s="95"/>
      <c r="N64" s="13"/>
      <c r="O64" s="254"/>
      <c r="P64" s="255"/>
      <c r="Q64" s="562"/>
      <c r="R64" s="95"/>
      <c r="S64" s="13"/>
      <c r="T64" s="254"/>
      <c r="U64" s="255"/>
      <c r="V64" s="562"/>
      <c r="W64" s="95"/>
      <c r="X64" s="13"/>
      <c r="Y64" s="254"/>
      <c r="Z64" s="255"/>
      <c r="AA64" s="562"/>
      <c r="AB64" s="95"/>
      <c r="AC64" s="13"/>
      <c r="AD64" s="254"/>
      <c r="AE64" s="255"/>
      <c r="AF64" s="643"/>
      <c r="AG64" s="191"/>
      <c r="AH64" s="192"/>
      <c r="AI64" s="193"/>
      <c r="AJ64" s="190"/>
      <c r="AK64" s="91"/>
      <c r="AL64"/>
      <c r="AM64"/>
      <c r="AN64"/>
      <c r="AO64"/>
      <c r="AP64"/>
      <c r="AQ6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</row>
    <row r="65" spans="1:86" s="1" customFormat="1" ht="18" hidden="1" customHeight="1">
      <c r="A65" s="540"/>
      <c r="B65" s="644"/>
      <c r="C65" s="194"/>
      <c r="D65" s="195"/>
      <c r="E65" s="196"/>
      <c r="F65" s="197"/>
      <c r="G65" s="587"/>
      <c r="H65" s="95"/>
      <c r="I65" s="13"/>
      <c r="J65" s="254"/>
      <c r="K65" s="255"/>
      <c r="L65" s="562"/>
      <c r="M65" s="95"/>
      <c r="N65" s="13"/>
      <c r="O65" s="254"/>
      <c r="P65" s="255"/>
      <c r="Q65" s="562"/>
      <c r="R65" s="95"/>
      <c r="S65" s="13"/>
      <c r="T65" s="254"/>
      <c r="U65" s="255"/>
      <c r="V65" s="562"/>
      <c r="W65" s="95"/>
      <c r="X65" s="13"/>
      <c r="Y65" s="254"/>
      <c r="Z65" s="255"/>
      <c r="AA65" s="562"/>
      <c r="AB65" s="95"/>
      <c r="AC65" s="13"/>
      <c r="AD65" s="254"/>
      <c r="AE65" s="255"/>
      <c r="AF65" s="644"/>
      <c r="AG65" s="198"/>
      <c r="AH65" s="199"/>
      <c r="AI65" s="200"/>
      <c r="AJ65" s="197"/>
      <c r="AK65" s="91"/>
      <c r="AL65"/>
      <c r="AM65"/>
      <c r="AN65"/>
      <c r="AO65"/>
      <c r="AP65"/>
      <c r="AQ65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</row>
    <row r="66" spans="1:86" s="1" customFormat="1" ht="18" hidden="1" customHeight="1">
      <c r="A66" s="540"/>
      <c r="B66" s="644"/>
      <c r="C66" s="194"/>
      <c r="D66" s="195"/>
      <c r="E66" s="196"/>
      <c r="F66" s="197"/>
      <c r="G66" s="587"/>
      <c r="H66" s="95"/>
      <c r="I66" s="13"/>
      <c r="J66" s="254"/>
      <c r="K66" s="255"/>
      <c r="L66" s="562"/>
      <c r="M66" s="95"/>
      <c r="N66" s="13"/>
      <c r="O66" s="254"/>
      <c r="P66" s="255"/>
      <c r="Q66" s="562"/>
      <c r="R66" s="95"/>
      <c r="S66" s="13"/>
      <c r="T66" s="254"/>
      <c r="U66" s="255"/>
      <c r="V66" s="562"/>
      <c r="W66" s="95"/>
      <c r="X66" s="13"/>
      <c r="Y66" s="254"/>
      <c r="Z66" s="255"/>
      <c r="AA66" s="562"/>
      <c r="AB66" s="95"/>
      <c r="AC66" s="13"/>
      <c r="AD66" s="254"/>
      <c r="AE66" s="255"/>
      <c r="AF66" s="644"/>
      <c r="AG66" s="198"/>
      <c r="AH66" s="199"/>
      <c r="AI66" s="200"/>
      <c r="AJ66" s="197"/>
      <c r="AK66" s="91"/>
      <c r="AL66"/>
      <c r="AM66"/>
      <c r="AN66"/>
      <c r="AO66"/>
      <c r="AP66"/>
      <c r="AQ66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</row>
    <row r="67" spans="1:86" s="1" customFormat="1" ht="18" hidden="1" customHeight="1">
      <c r="A67" s="540"/>
      <c r="B67" s="644"/>
      <c r="C67" s="194"/>
      <c r="D67" s="195"/>
      <c r="E67" s="196"/>
      <c r="F67" s="197"/>
      <c r="G67" s="587"/>
      <c r="H67" s="95"/>
      <c r="I67" s="13"/>
      <c r="J67" s="254"/>
      <c r="K67" s="255"/>
      <c r="L67" s="562"/>
      <c r="M67" s="95"/>
      <c r="N67" s="13"/>
      <c r="O67" s="254"/>
      <c r="P67" s="255"/>
      <c r="Q67" s="562"/>
      <c r="R67" s="95"/>
      <c r="S67" s="13"/>
      <c r="T67" s="254"/>
      <c r="U67" s="255"/>
      <c r="V67" s="562"/>
      <c r="W67" s="95"/>
      <c r="X67" s="13"/>
      <c r="Y67" s="254"/>
      <c r="Z67" s="255"/>
      <c r="AA67" s="562"/>
      <c r="AB67" s="95"/>
      <c r="AC67" s="13"/>
      <c r="AD67" s="254"/>
      <c r="AE67" s="255"/>
      <c r="AF67" s="644"/>
      <c r="AG67" s="198"/>
      <c r="AH67" s="199"/>
      <c r="AI67" s="200"/>
      <c r="AJ67" s="197"/>
      <c r="AK67" s="91"/>
      <c r="AL67"/>
      <c r="AM67"/>
      <c r="AN67"/>
      <c r="AO67"/>
      <c r="AP67"/>
      <c r="AQ67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</row>
    <row r="68" spans="1:86" s="1" customFormat="1" ht="18" hidden="1" customHeight="1">
      <c r="A68" s="540"/>
      <c r="B68" s="644"/>
      <c r="C68" s="194"/>
      <c r="D68" s="195"/>
      <c r="E68" s="196"/>
      <c r="F68" s="197"/>
      <c r="G68" s="587"/>
      <c r="H68" s="95"/>
      <c r="I68" s="13"/>
      <c r="J68" s="254"/>
      <c r="K68" s="255"/>
      <c r="L68" s="562"/>
      <c r="M68" s="95"/>
      <c r="N68" s="13"/>
      <c r="O68" s="254"/>
      <c r="P68" s="255"/>
      <c r="Q68" s="562"/>
      <c r="R68" s="95"/>
      <c r="S68" s="13"/>
      <c r="T68" s="254"/>
      <c r="U68" s="255"/>
      <c r="V68" s="562"/>
      <c r="W68" s="95"/>
      <c r="X68" s="13"/>
      <c r="Y68" s="254"/>
      <c r="Z68" s="255"/>
      <c r="AA68" s="562"/>
      <c r="AB68" s="95"/>
      <c r="AC68" s="13"/>
      <c r="AD68" s="254"/>
      <c r="AE68" s="255"/>
      <c r="AF68" s="644"/>
      <c r="AG68" s="198"/>
      <c r="AH68" s="199"/>
      <c r="AI68" s="200"/>
      <c r="AJ68" s="197"/>
      <c r="AK68" s="91"/>
      <c r="AL68"/>
      <c r="AM68"/>
      <c r="AN68"/>
      <c r="AO68"/>
      <c r="AP68"/>
      <c r="AQ68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</row>
    <row r="69" spans="1:86" s="1" customFormat="1" ht="18" hidden="1" customHeight="1">
      <c r="A69" s="540"/>
      <c r="B69" s="644"/>
      <c r="C69" s="194"/>
      <c r="D69" s="195"/>
      <c r="E69" s="196"/>
      <c r="F69" s="197"/>
      <c r="G69" s="587"/>
      <c r="H69" s="95"/>
      <c r="I69" s="13"/>
      <c r="J69" s="254"/>
      <c r="K69" s="255"/>
      <c r="L69" s="562"/>
      <c r="M69" s="95"/>
      <c r="N69" s="13"/>
      <c r="O69" s="254"/>
      <c r="P69" s="255"/>
      <c r="Q69" s="562"/>
      <c r="R69" s="95"/>
      <c r="S69" s="13"/>
      <c r="T69" s="254"/>
      <c r="U69" s="255"/>
      <c r="V69" s="562"/>
      <c r="W69" s="95"/>
      <c r="X69" s="13"/>
      <c r="Y69" s="254"/>
      <c r="Z69" s="255"/>
      <c r="AA69" s="562"/>
      <c r="AB69" s="95"/>
      <c r="AC69" s="13"/>
      <c r="AD69" s="254"/>
      <c r="AE69" s="255"/>
      <c r="AF69" s="644"/>
      <c r="AG69" s="198"/>
      <c r="AH69" s="199"/>
      <c r="AI69" s="200"/>
      <c r="AJ69" s="197"/>
      <c r="AK69" s="91"/>
      <c r="AL69"/>
      <c r="AM69"/>
      <c r="AN69"/>
      <c r="AO69"/>
      <c r="AP69"/>
      <c r="AQ69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</row>
    <row r="70" spans="1:86" s="1" customFormat="1" ht="18" hidden="1" customHeight="1">
      <c r="A70" s="540"/>
      <c r="B70" s="644"/>
      <c r="C70" s="194"/>
      <c r="D70" s="195"/>
      <c r="E70" s="196"/>
      <c r="F70" s="197"/>
      <c r="G70" s="587"/>
      <c r="H70" s="95"/>
      <c r="I70" s="13"/>
      <c r="J70" s="254"/>
      <c r="K70" s="255"/>
      <c r="L70" s="562"/>
      <c r="M70" s="95"/>
      <c r="N70" s="13"/>
      <c r="O70" s="254"/>
      <c r="P70" s="255"/>
      <c r="Q70" s="562"/>
      <c r="R70" s="95"/>
      <c r="S70" s="13"/>
      <c r="T70" s="254"/>
      <c r="U70" s="255"/>
      <c r="V70" s="562"/>
      <c r="W70" s="95"/>
      <c r="X70" s="13"/>
      <c r="Y70" s="254"/>
      <c r="Z70" s="255"/>
      <c r="AA70" s="562"/>
      <c r="AB70" s="95"/>
      <c r="AC70" s="13"/>
      <c r="AD70" s="254"/>
      <c r="AE70" s="255"/>
      <c r="AF70" s="644"/>
      <c r="AG70" s="198"/>
      <c r="AH70" s="199"/>
      <c r="AI70" s="200"/>
      <c r="AJ70" s="197"/>
      <c r="AK70" s="91"/>
      <c r="AL70"/>
      <c r="AM70"/>
      <c r="AN70"/>
      <c r="AO70"/>
      <c r="AP70"/>
      <c r="AQ70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</row>
    <row r="71" spans="1:86" s="1" customFormat="1" ht="18" hidden="1" customHeight="1">
      <c r="A71" s="540"/>
      <c r="B71" s="644"/>
      <c r="C71" s="194"/>
      <c r="D71" s="195"/>
      <c r="E71" s="196"/>
      <c r="F71" s="197"/>
      <c r="G71" s="587"/>
      <c r="H71" s="95"/>
      <c r="I71" s="13"/>
      <c r="J71" s="254"/>
      <c r="K71" s="255"/>
      <c r="L71" s="562"/>
      <c r="M71" s="95"/>
      <c r="N71" s="13"/>
      <c r="O71" s="254"/>
      <c r="P71" s="255"/>
      <c r="Q71" s="562"/>
      <c r="R71" s="95"/>
      <c r="S71" s="13"/>
      <c r="T71" s="254"/>
      <c r="U71" s="255"/>
      <c r="V71" s="562"/>
      <c r="W71" s="95"/>
      <c r="X71" s="13"/>
      <c r="Y71" s="254"/>
      <c r="Z71" s="255"/>
      <c r="AA71" s="562"/>
      <c r="AB71" s="95"/>
      <c r="AC71" s="13"/>
      <c r="AD71" s="254"/>
      <c r="AE71" s="255"/>
      <c r="AF71" s="644"/>
      <c r="AG71" s="198"/>
      <c r="AH71" s="199"/>
      <c r="AI71" s="200"/>
      <c r="AJ71" s="197"/>
      <c r="AK71" s="91"/>
      <c r="AL71"/>
      <c r="AM71"/>
      <c r="AN71"/>
      <c r="AO71"/>
      <c r="AP71"/>
      <c r="AQ71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</row>
    <row r="72" spans="1:86" s="1" customFormat="1" ht="18" hidden="1" customHeight="1">
      <c r="A72" s="540"/>
      <c r="B72" s="644"/>
      <c r="C72" s="194"/>
      <c r="D72" s="195"/>
      <c r="E72" s="196"/>
      <c r="F72" s="197"/>
      <c r="G72" s="587"/>
      <c r="H72" s="95"/>
      <c r="I72" s="13"/>
      <c r="J72" s="254"/>
      <c r="K72" s="255"/>
      <c r="L72" s="562"/>
      <c r="M72" s="95"/>
      <c r="N72" s="13"/>
      <c r="O72" s="254"/>
      <c r="P72" s="255"/>
      <c r="Q72" s="562"/>
      <c r="R72" s="95"/>
      <c r="S72" s="13"/>
      <c r="T72" s="254"/>
      <c r="U72" s="255"/>
      <c r="V72" s="562"/>
      <c r="W72" s="95"/>
      <c r="X72" s="13"/>
      <c r="Y72" s="254"/>
      <c r="Z72" s="255"/>
      <c r="AA72" s="562"/>
      <c r="AB72" s="95"/>
      <c r="AC72" s="13"/>
      <c r="AD72" s="254"/>
      <c r="AE72" s="255"/>
      <c r="AF72" s="644"/>
      <c r="AG72" s="198"/>
      <c r="AH72" s="199"/>
      <c r="AI72" s="200"/>
      <c r="AJ72" s="197"/>
      <c r="AK72" s="91"/>
      <c r="AL72"/>
      <c r="AM72"/>
      <c r="AN72"/>
      <c r="AO72"/>
      <c r="AP72"/>
      <c r="AQ72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</row>
    <row r="73" spans="1:86" s="1" customFormat="1" ht="18" hidden="1" customHeight="1">
      <c r="A73" s="540"/>
      <c r="B73" s="644"/>
      <c r="C73" s="194"/>
      <c r="D73" s="195"/>
      <c r="E73" s="196"/>
      <c r="F73" s="197"/>
      <c r="G73" s="587"/>
      <c r="H73" s="95"/>
      <c r="I73" s="13"/>
      <c r="J73" s="254"/>
      <c r="K73" s="255"/>
      <c r="L73" s="562"/>
      <c r="M73" s="95"/>
      <c r="N73" s="13"/>
      <c r="O73" s="254"/>
      <c r="P73" s="255"/>
      <c r="Q73" s="562"/>
      <c r="R73" s="95"/>
      <c r="S73" s="13"/>
      <c r="T73" s="254"/>
      <c r="U73" s="255"/>
      <c r="V73" s="562"/>
      <c r="W73" s="95"/>
      <c r="X73" s="13"/>
      <c r="Y73" s="254"/>
      <c r="Z73" s="255"/>
      <c r="AA73" s="562"/>
      <c r="AB73" s="95"/>
      <c r="AC73" s="13"/>
      <c r="AD73" s="254"/>
      <c r="AE73" s="255"/>
      <c r="AF73" s="644"/>
      <c r="AG73" s="198"/>
      <c r="AH73" s="199"/>
      <c r="AI73" s="200"/>
      <c r="AJ73" s="197"/>
      <c r="AK73" s="91"/>
      <c r="AL73"/>
      <c r="AM73"/>
      <c r="AN73"/>
      <c r="AO73"/>
      <c r="AP73"/>
      <c r="AQ73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</row>
    <row r="74" spans="1:86" s="1" customFormat="1" ht="18" hidden="1" customHeight="1">
      <c r="A74" s="540"/>
      <c r="B74" s="644"/>
      <c r="C74" s="194"/>
      <c r="D74" s="195"/>
      <c r="E74" s="196"/>
      <c r="F74" s="197"/>
      <c r="G74" s="587"/>
      <c r="H74" s="95"/>
      <c r="I74" s="13"/>
      <c r="J74" s="254"/>
      <c r="K74" s="255"/>
      <c r="L74" s="562"/>
      <c r="M74" s="95"/>
      <c r="N74" s="13"/>
      <c r="O74" s="254"/>
      <c r="P74" s="255"/>
      <c r="Q74" s="562"/>
      <c r="R74" s="95"/>
      <c r="S74" s="13"/>
      <c r="T74" s="254"/>
      <c r="U74" s="255"/>
      <c r="V74" s="562"/>
      <c r="W74" s="95"/>
      <c r="X74" s="13"/>
      <c r="Y74" s="254"/>
      <c r="Z74" s="255"/>
      <c r="AA74" s="562"/>
      <c r="AB74" s="95"/>
      <c r="AC74" s="13"/>
      <c r="AD74" s="254"/>
      <c r="AE74" s="255"/>
      <c r="AF74" s="644"/>
      <c r="AG74" s="198"/>
      <c r="AH74" s="199"/>
      <c r="AI74" s="200"/>
      <c r="AJ74" s="197"/>
      <c r="AK74" s="91"/>
      <c r="AL74"/>
      <c r="AM74"/>
      <c r="AN74"/>
      <c r="AO74"/>
      <c r="AP74"/>
      <c r="AQ7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86" s="1" customFormat="1" ht="18" hidden="1" customHeight="1">
      <c r="A75" s="540"/>
      <c r="B75" s="644"/>
      <c r="C75" s="194"/>
      <c r="D75" s="195"/>
      <c r="E75" s="196"/>
      <c r="F75" s="197"/>
      <c r="G75" s="587"/>
      <c r="H75" s="95"/>
      <c r="I75" s="13"/>
      <c r="J75" s="254"/>
      <c r="K75" s="255"/>
      <c r="L75" s="562"/>
      <c r="M75" s="95"/>
      <c r="N75" s="13"/>
      <c r="O75" s="254"/>
      <c r="P75" s="255"/>
      <c r="Q75" s="562"/>
      <c r="R75" s="95"/>
      <c r="S75" s="13"/>
      <c r="T75" s="254"/>
      <c r="U75" s="255"/>
      <c r="V75" s="562"/>
      <c r="W75" s="95"/>
      <c r="X75" s="13"/>
      <c r="Y75" s="254"/>
      <c r="Z75" s="255"/>
      <c r="AA75" s="562"/>
      <c r="AB75" s="95"/>
      <c r="AC75" s="13"/>
      <c r="AD75" s="254"/>
      <c r="AE75" s="255"/>
      <c r="AF75" s="644"/>
      <c r="AG75" s="198"/>
      <c r="AH75" s="199"/>
      <c r="AI75" s="200"/>
      <c r="AJ75" s="197"/>
      <c r="AK75" s="91"/>
      <c r="AL75"/>
      <c r="AM75"/>
      <c r="AN75"/>
      <c r="AO75"/>
      <c r="AP75"/>
      <c r="AQ75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86" s="1" customFormat="1" ht="18" hidden="1" customHeight="1">
      <c r="A76" s="540"/>
      <c r="B76" s="644"/>
      <c r="C76" s="194"/>
      <c r="D76" s="195"/>
      <c r="E76" s="196"/>
      <c r="F76" s="197"/>
      <c r="G76" s="587"/>
      <c r="H76" s="95"/>
      <c r="I76" s="13"/>
      <c r="J76" s="254"/>
      <c r="K76" s="255"/>
      <c r="L76" s="562"/>
      <c r="M76" s="95"/>
      <c r="N76" s="13"/>
      <c r="O76" s="254"/>
      <c r="P76" s="255"/>
      <c r="Q76" s="562"/>
      <c r="R76" s="95"/>
      <c r="S76" s="13"/>
      <c r="T76" s="254"/>
      <c r="U76" s="255"/>
      <c r="V76" s="562"/>
      <c r="W76" s="95"/>
      <c r="X76" s="13"/>
      <c r="Y76" s="254"/>
      <c r="Z76" s="255"/>
      <c r="AA76" s="562"/>
      <c r="AB76" s="95"/>
      <c r="AC76" s="13"/>
      <c r="AD76" s="254"/>
      <c r="AE76" s="255"/>
      <c r="AF76" s="644"/>
      <c r="AG76" s="198"/>
      <c r="AH76" s="199"/>
      <c r="AI76" s="200"/>
      <c r="AJ76" s="197"/>
      <c r="AK76" s="91"/>
      <c r="AL76"/>
      <c r="AM76"/>
      <c r="AN76"/>
      <c r="AO76"/>
      <c r="AP76"/>
      <c r="AQ76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86" s="1" customFormat="1" ht="18" hidden="1" customHeight="1">
      <c r="A77" s="540"/>
      <c r="B77" s="644"/>
      <c r="C77" s="194"/>
      <c r="D77" s="195"/>
      <c r="E77" s="196"/>
      <c r="F77" s="197"/>
      <c r="G77" s="587"/>
      <c r="H77" s="95"/>
      <c r="I77" s="13"/>
      <c r="J77" s="254"/>
      <c r="K77" s="255"/>
      <c r="L77" s="562"/>
      <c r="M77" s="95"/>
      <c r="N77" s="13"/>
      <c r="O77" s="254"/>
      <c r="P77" s="255"/>
      <c r="Q77" s="562"/>
      <c r="R77" s="95"/>
      <c r="S77" s="13"/>
      <c r="T77" s="254"/>
      <c r="U77" s="255"/>
      <c r="V77" s="562"/>
      <c r="W77" s="95"/>
      <c r="X77" s="13"/>
      <c r="Y77" s="254"/>
      <c r="Z77" s="255"/>
      <c r="AA77" s="562"/>
      <c r="AB77" s="95"/>
      <c r="AC77" s="13"/>
      <c r="AD77" s="254"/>
      <c r="AE77" s="255"/>
      <c r="AF77" s="644"/>
      <c r="AG77" s="198"/>
      <c r="AH77" s="199"/>
      <c r="AI77" s="200"/>
      <c r="AJ77" s="197"/>
      <c r="AK77" s="91"/>
      <c r="AL77"/>
      <c r="AM77"/>
      <c r="AN77"/>
      <c r="AO77"/>
      <c r="AP77"/>
      <c r="AQ77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86" s="1" customFormat="1" ht="18" hidden="1" customHeight="1">
      <c r="A78" s="541"/>
      <c r="B78" s="645"/>
      <c r="C78" s="201"/>
      <c r="D78" s="202"/>
      <c r="E78" s="203"/>
      <c r="F78" s="204"/>
      <c r="G78" s="588"/>
      <c r="H78" s="95"/>
      <c r="I78" s="13"/>
      <c r="J78" s="254"/>
      <c r="K78" s="257"/>
      <c r="L78" s="563"/>
      <c r="M78" s="95"/>
      <c r="N78" s="13"/>
      <c r="O78" s="254"/>
      <c r="P78" s="257"/>
      <c r="Q78" s="563"/>
      <c r="R78" s="95"/>
      <c r="S78" s="13"/>
      <c r="T78" s="254"/>
      <c r="U78" s="257"/>
      <c r="V78" s="563"/>
      <c r="W78" s="95"/>
      <c r="X78" s="13"/>
      <c r="Y78" s="254"/>
      <c r="Z78" s="257"/>
      <c r="AA78" s="563"/>
      <c r="AB78" s="95"/>
      <c r="AC78" s="13"/>
      <c r="AD78" s="254"/>
      <c r="AE78" s="257"/>
      <c r="AF78" s="645"/>
      <c r="AG78" s="205"/>
      <c r="AH78" s="206"/>
      <c r="AI78" s="207"/>
      <c r="AJ78" s="204"/>
      <c r="AK78" s="91"/>
      <c r="AL78"/>
      <c r="AM78"/>
      <c r="AN78"/>
      <c r="AO78"/>
      <c r="AP78"/>
      <c r="AQ78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86" s="1" customFormat="1" ht="18" hidden="1" customHeight="1">
      <c r="A79" s="539" t="s">
        <v>51</v>
      </c>
      <c r="B79" s="643"/>
      <c r="C79" s="187"/>
      <c r="D79" s="188"/>
      <c r="E79" s="189"/>
      <c r="F79" s="190"/>
      <c r="G79" s="586"/>
      <c r="H79" s="95"/>
      <c r="I79" s="13"/>
      <c r="J79" s="254"/>
      <c r="K79" s="267"/>
      <c r="L79" s="561"/>
      <c r="M79" s="95"/>
      <c r="N79" s="13"/>
      <c r="O79" s="254"/>
      <c r="P79" s="267"/>
      <c r="Q79" s="561"/>
      <c r="R79" s="95"/>
      <c r="S79" s="13"/>
      <c r="T79" s="254"/>
      <c r="U79" s="267"/>
      <c r="V79" s="561"/>
      <c r="W79" s="95"/>
      <c r="X79" s="13"/>
      <c r="Y79" s="254"/>
      <c r="Z79" s="267"/>
      <c r="AA79" s="561"/>
      <c r="AB79" s="95"/>
      <c r="AC79" s="13"/>
      <c r="AD79" s="254"/>
      <c r="AE79" s="267"/>
      <c r="AF79" s="643"/>
      <c r="AG79" s="191"/>
      <c r="AH79" s="192"/>
      <c r="AI79" s="193"/>
      <c r="AJ79" s="190"/>
      <c r="AK79" s="91"/>
      <c r="AL79"/>
      <c r="AM79"/>
      <c r="AN79"/>
      <c r="AO79"/>
      <c r="AP79"/>
      <c r="AQ79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86" s="1" customFormat="1" ht="18" hidden="1" customHeight="1">
      <c r="A80" s="540"/>
      <c r="B80" s="644"/>
      <c r="C80" s="194"/>
      <c r="D80" s="195"/>
      <c r="E80" s="196"/>
      <c r="F80" s="197"/>
      <c r="G80" s="587"/>
      <c r="H80" s="95"/>
      <c r="I80" s="13"/>
      <c r="J80" s="254"/>
      <c r="K80" s="255"/>
      <c r="L80" s="562"/>
      <c r="M80" s="95"/>
      <c r="N80" s="13"/>
      <c r="O80" s="254"/>
      <c r="P80" s="255"/>
      <c r="Q80" s="562"/>
      <c r="R80" s="95"/>
      <c r="S80" s="13"/>
      <c r="T80" s="254"/>
      <c r="U80" s="255"/>
      <c r="V80" s="562"/>
      <c r="W80" s="95"/>
      <c r="X80" s="13"/>
      <c r="Y80" s="254"/>
      <c r="Z80" s="255"/>
      <c r="AA80" s="562"/>
      <c r="AB80" s="95"/>
      <c r="AC80" s="13"/>
      <c r="AD80" s="254"/>
      <c r="AE80" s="255"/>
      <c r="AF80" s="644"/>
      <c r="AG80" s="198"/>
      <c r="AH80" s="199"/>
      <c r="AI80" s="200"/>
      <c r="AJ80" s="197"/>
      <c r="AK80" s="91"/>
      <c r="AL80"/>
      <c r="AM80"/>
      <c r="AN80"/>
      <c r="AO80"/>
      <c r="AP80"/>
      <c r="AQ80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1:86" s="1" customFormat="1" ht="18" hidden="1" customHeight="1">
      <c r="A81" s="540"/>
      <c r="B81" s="644"/>
      <c r="C81" s="194"/>
      <c r="D81" s="195"/>
      <c r="E81" s="196"/>
      <c r="F81" s="197"/>
      <c r="G81" s="587"/>
      <c r="H81" s="95"/>
      <c r="I81" s="13"/>
      <c r="J81" s="254"/>
      <c r="K81" s="255"/>
      <c r="L81" s="562"/>
      <c r="M81" s="95"/>
      <c r="N81" s="13"/>
      <c r="O81" s="254"/>
      <c r="P81" s="255"/>
      <c r="Q81" s="562"/>
      <c r="R81" s="95"/>
      <c r="S81" s="13"/>
      <c r="T81" s="254"/>
      <c r="U81" s="255"/>
      <c r="V81" s="562"/>
      <c r="W81" s="95"/>
      <c r="X81" s="13"/>
      <c r="Y81" s="254"/>
      <c r="Z81" s="255"/>
      <c r="AA81" s="562"/>
      <c r="AB81" s="95"/>
      <c r="AC81" s="13"/>
      <c r="AD81" s="254"/>
      <c r="AE81" s="255"/>
      <c r="AF81" s="644"/>
      <c r="AG81" s="198"/>
      <c r="AH81" s="199"/>
      <c r="AI81" s="200"/>
      <c r="AJ81" s="197"/>
      <c r="AK81" s="91"/>
      <c r="AL81"/>
      <c r="AM81"/>
      <c r="AN81"/>
      <c r="AO81"/>
      <c r="AP81"/>
      <c r="AQ81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1:86" s="1" customFormat="1" ht="18" hidden="1" customHeight="1">
      <c r="A82" s="540"/>
      <c r="B82" s="644"/>
      <c r="C82" s="194"/>
      <c r="D82" s="195"/>
      <c r="E82" s="196"/>
      <c r="F82" s="197"/>
      <c r="G82" s="587"/>
      <c r="H82" s="95"/>
      <c r="I82" s="13"/>
      <c r="J82" s="254"/>
      <c r="K82" s="255"/>
      <c r="L82" s="562"/>
      <c r="M82" s="95"/>
      <c r="N82" s="13"/>
      <c r="O82" s="254"/>
      <c r="P82" s="255"/>
      <c r="Q82" s="562"/>
      <c r="R82" s="95"/>
      <c r="S82" s="13"/>
      <c r="T82" s="254"/>
      <c r="U82" s="255"/>
      <c r="V82" s="562"/>
      <c r="W82" s="95"/>
      <c r="X82" s="13"/>
      <c r="Y82" s="254"/>
      <c r="Z82" s="255"/>
      <c r="AA82" s="562"/>
      <c r="AB82" s="95"/>
      <c r="AC82" s="13"/>
      <c r="AD82" s="254"/>
      <c r="AE82" s="255"/>
      <c r="AF82" s="644"/>
      <c r="AG82" s="198"/>
      <c r="AH82" s="199"/>
      <c r="AI82" s="200"/>
      <c r="AJ82" s="197"/>
      <c r="AK82" s="91"/>
      <c r="AL82"/>
      <c r="AM82"/>
      <c r="AN82"/>
      <c r="AO82"/>
      <c r="AP82"/>
      <c r="AQ82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1:86" s="1" customFormat="1" ht="18" hidden="1" customHeight="1">
      <c r="A83" s="540"/>
      <c r="B83" s="644"/>
      <c r="C83" s="194"/>
      <c r="D83" s="195"/>
      <c r="E83" s="196"/>
      <c r="F83" s="197"/>
      <c r="G83" s="587"/>
      <c r="H83" s="95"/>
      <c r="I83" s="13"/>
      <c r="J83" s="254"/>
      <c r="K83" s="255"/>
      <c r="L83" s="562"/>
      <c r="M83" s="95"/>
      <c r="N83" s="13"/>
      <c r="O83" s="254"/>
      <c r="P83" s="255"/>
      <c r="Q83" s="562"/>
      <c r="R83" s="95"/>
      <c r="S83" s="13"/>
      <c r="T83" s="254"/>
      <c r="U83" s="255"/>
      <c r="V83" s="562"/>
      <c r="W83" s="95"/>
      <c r="X83" s="13"/>
      <c r="Y83" s="254"/>
      <c r="Z83" s="255"/>
      <c r="AA83" s="562"/>
      <c r="AB83" s="95"/>
      <c r="AC83" s="13"/>
      <c r="AD83" s="254"/>
      <c r="AE83" s="255"/>
      <c r="AF83" s="644"/>
      <c r="AG83" s="198"/>
      <c r="AH83" s="199"/>
      <c r="AI83" s="200"/>
      <c r="AJ83" s="197"/>
      <c r="AK83" s="91"/>
      <c r="AL83"/>
      <c r="AM83"/>
      <c r="AN83"/>
      <c r="AO83"/>
      <c r="AP83"/>
      <c r="AQ83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1:86" s="1" customFormat="1" ht="18" hidden="1" customHeight="1">
      <c r="A84" s="540"/>
      <c r="B84" s="644"/>
      <c r="C84" s="194"/>
      <c r="D84" s="195"/>
      <c r="E84" s="196"/>
      <c r="F84" s="197"/>
      <c r="G84" s="587"/>
      <c r="H84" s="95"/>
      <c r="I84" s="13"/>
      <c r="J84" s="254"/>
      <c r="K84" s="255"/>
      <c r="L84" s="562"/>
      <c r="M84" s="95"/>
      <c r="N84" s="13"/>
      <c r="O84" s="254"/>
      <c r="P84" s="255"/>
      <c r="Q84" s="562"/>
      <c r="R84" s="95"/>
      <c r="S84" s="13"/>
      <c r="T84" s="254"/>
      <c r="U84" s="255"/>
      <c r="V84" s="562"/>
      <c r="W84" s="95"/>
      <c r="X84" s="13"/>
      <c r="Y84" s="254"/>
      <c r="Z84" s="255"/>
      <c r="AA84" s="562"/>
      <c r="AB84" s="95"/>
      <c r="AC84" s="13"/>
      <c r="AD84" s="254"/>
      <c r="AE84" s="255"/>
      <c r="AF84" s="644"/>
      <c r="AG84" s="198"/>
      <c r="AH84" s="199"/>
      <c r="AI84" s="200"/>
      <c r="AJ84" s="197"/>
      <c r="AK84" s="91"/>
      <c r="AL84"/>
      <c r="AM84"/>
      <c r="AN84"/>
      <c r="AO84"/>
      <c r="AP84"/>
      <c r="AQ8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1:86" s="1" customFormat="1" ht="18" hidden="1" customHeight="1">
      <c r="A85" s="540"/>
      <c r="B85" s="644"/>
      <c r="C85" s="194"/>
      <c r="D85" s="195"/>
      <c r="E85" s="196"/>
      <c r="F85" s="197"/>
      <c r="G85" s="587"/>
      <c r="H85" s="95"/>
      <c r="I85" s="13"/>
      <c r="J85" s="254"/>
      <c r="K85" s="255"/>
      <c r="L85" s="562"/>
      <c r="M85" s="95"/>
      <c r="N85" s="13"/>
      <c r="O85" s="254"/>
      <c r="P85" s="255"/>
      <c r="Q85" s="562"/>
      <c r="R85" s="95"/>
      <c r="S85" s="13"/>
      <c r="T85" s="254"/>
      <c r="U85" s="255"/>
      <c r="V85" s="562"/>
      <c r="W85" s="95"/>
      <c r="X85" s="13"/>
      <c r="Y85" s="254"/>
      <c r="Z85" s="255"/>
      <c r="AA85" s="562"/>
      <c r="AB85" s="95"/>
      <c r="AC85" s="13"/>
      <c r="AD85" s="254"/>
      <c r="AE85" s="255"/>
      <c r="AF85" s="644"/>
      <c r="AG85" s="198"/>
      <c r="AH85" s="199"/>
      <c r="AI85" s="200"/>
      <c r="AJ85" s="197"/>
      <c r="AK85" s="91"/>
      <c r="AL85"/>
      <c r="AM85"/>
      <c r="AN85"/>
      <c r="AO85"/>
      <c r="AP85"/>
      <c r="AQ85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86" s="1" customFormat="1" ht="18" hidden="1" customHeight="1">
      <c r="A86" s="540"/>
      <c r="B86" s="644"/>
      <c r="C86" s="194"/>
      <c r="D86" s="195"/>
      <c r="E86" s="196"/>
      <c r="F86" s="197"/>
      <c r="G86" s="587"/>
      <c r="H86" s="95"/>
      <c r="I86" s="13"/>
      <c r="J86" s="254"/>
      <c r="K86" s="255"/>
      <c r="L86" s="562"/>
      <c r="M86" s="95"/>
      <c r="N86" s="13"/>
      <c r="O86" s="254"/>
      <c r="P86" s="255"/>
      <c r="Q86" s="562"/>
      <c r="R86" s="95"/>
      <c r="S86" s="13"/>
      <c r="T86" s="254"/>
      <c r="U86" s="255"/>
      <c r="V86" s="562"/>
      <c r="W86" s="95"/>
      <c r="X86" s="13"/>
      <c r="Y86" s="254"/>
      <c r="Z86" s="255"/>
      <c r="AA86" s="562"/>
      <c r="AB86" s="95"/>
      <c r="AC86" s="13"/>
      <c r="AD86" s="254"/>
      <c r="AE86" s="255"/>
      <c r="AF86" s="644"/>
      <c r="AG86" s="198"/>
      <c r="AH86" s="199"/>
      <c r="AI86" s="200"/>
      <c r="AJ86" s="197"/>
      <c r="AK86" s="91"/>
      <c r="AL86"/>
      <c r="AM86"/>
      <c r="AN86"/>
      <c r="AO86"/>
      <c r="AP86"/>
      <c r="AQ86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86" s="1" customFormat="1" ht="18" hidden="1" customHeight="1">
      <c r="A87" s="540"/>
      <c r="B87" s="644"/>
      <c r="C87" s="194"/>
      <c r="D87" s="195"/>
      <c r="E87" s="196"/>
      <c r="F87" s="197"/>
      <c r="G87" s="587"/>
      <c r="H87" s="95"/>
      <c r="I87" s="13"/>
      <c r="J87" s="254"/>
      <c r="K87" s="255"/>
      <c r="L87" s="562"/>
      <c r="M87" s="95"/>
      <c r="N87" s="13"/>
      <c r="O87" s="254"/>
      <c r="P87" s="255"/>
      <c r="Q87" s="562"/>
      <c r="R87" s="95"/>
      <c r="S87" s="13"/>
      <c r="T87" s="254"/>
      <c r="U87" s="255"/>
      <c r="V87" s="562"/>
      <c r="W87" s="95"/>
      <c r="X87" s="13"/>
      <c r="Y87" s="254"/>
      <c r="Z87" s="255"/>
      <c r="AA87" s="562"/>
      <c r="AB87" s="95"/>
      <c r="AC87" s="13"/>
      <c r="AD87" s="254"/>
      <c r="AE87" s="255"/>
      <c r="AF87" s="644"/>
      <c r="AG87" s="198"/>
      <c r="AH87" s="199"/>
      <c r="AI87" s="200"/>
      <c r="AJ87" s="197"/>
      <c r="AK87" s="91"/>
      <c r="AL87"/>
      <c r="AM87"/>
      <c r="AN87"/>
      <c r="AO87"/>
      <c r="AP87"/>
      <c r="AQ87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86" s="1" customFormat="1" ht="18" hidden="1" customHeight="1">
      <c r="A88" s="540"/>
      <c r="B88" s="644"/>
      <c r="C88" s="194"/>
      <c r="D88" s="195"/>
      <c r="E88" s="196"/>
      <c r="F88" s="197"/>
      <c r="G88" s="587"/>
      <c r="H88" s="95"/>
      <c r="I88" s="13"/>
      <c r="J88" s="254"/>
      <c r="K88" s="255"/>
      <c r="L88" s="562"/>
      <c r="M88" s="95"/>
      <c r="N88" s="13"/>
      <c r="O88" s="254"/>
      <c r="P88" s="255"/>
      <c r="Q88" s="562"/>
      <c r="R88" s="95"/>
      <c r="S88" s="13"/>
      <c r="T88" s="254"/>
      <c r="U88" s="255"/>
      <c r="V88" s="562"/>
      <c r="W88" s="95"/>
      <c r="X88" s="13"/>
      <c r="Y88" s="254"/>
      <c r="Z88" s="255"/>
      <c r="AA88" s="562"/>
      <c r="AB88" s="95"/>
      <c r="AC88" s="13"/>
      <c r="AD88" s="254"/>
      <c r="AE88" s="255"/>
      <c r="AF88" s="644"/>
      <c r="AG88" s="198"/>
      <c r="AH88" s="199"/>
      <c r="AI88" s="200"/>
      <c r="AJ88" s="197"/>
      <c r="AK88" s="91"/>
      <c r="AL88"/>
      <c r="AM88"/>
      <c r="AN88"/>
      <c r="AO88"/>
      <c r="AP88"/>
      <c r="AQ88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86" s="1" customFormat="1" ht="18" hidden="1" customHeight="1">
      <c r="A89" s="540"/>
      <c r="B89" s="644"/>
      <c r="C89" s="194"/>
      <c r="D89" s="195"/>
      <c r="E89" s="196"/>
      <c r="F89" s="197"/>
      <c r="G89" s="587"/>
      <c r="H89" s="95"/>
      <c r="I89" s="13"/>
      <c r="J89" s="254"/>
      <c r="K89" s="255"/>
      <c r="L89" s="562"/>
      <c r="M89" s="95"/>
      <c r="N89" s="13"/>
      <c r="O89" s="254"/>
      <c r="P89" s="255"/>
      <c r="Q89" s="562"/>
      <c r="R89" s="95"/>
      <c r="S89" s="13"/>
      <c r="T89" s="254"/>
      <c r="U89" s="255"/>
      <c r="V89" s="562"/>
      <c r="W89" s="95"/>
      <c r="X89" s="13"/>
      <c r="Y89" s="254"/>
      <c r="Z89" s="255"/>
      <c r="AA89" s="562"/>
      <c r="AB89" s="95"/>
      <c r="AC89" s="13"/>
      <c r="AD89" s="254"/>
      <c r="AE89" s="255"/>
      <c r="AF89" s="644"/>
      <c r="AG89" s="198"/>
      <c r="AH89" s="199"/>
      <c r="AI89" s="200"/>
      <c r="AJ89" s="197"/>
      <c r="AK89" s="91"/>
      <c r="AL89"/>
      <c r="AM89"/>
      <c r="AN89"/>
      <c r="AO89"/>
      <c r="AP89"/>
      <c r="AQ89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86" s="1" customFormat="1" ht="18" hidden="1" customHeight="1">
      <c r="A90" s="540"/>
      <c r="B90" s="644"/>
      <c r="C90" s="194"/>
      <c r="D90" s="195"/>
      <c r="E90" s="196"/>
      <c r="F90" s="197"/>
      <c r="G90" s="587"/>
      <c r="H90" s="95"/>
      <c r="I90" s="13"/>
      <c r="J90" s="254"/>
      <c r="K90" s="255"/>
      <c r="L90" s="562"/>
      <c r="M90" s="95"/>
      <c r="N90" s="13"/>
      <c r="O90" s="254"/>
      <c r="P90" s="255"/>
      <c r="Q90" s="562"/>
      <c r="R90" s="95"/>
      <c r="S90" s="13"/>
      <c r="T90" s="254"/>
      <c r="U90" s="255"/>
      <c r="V90" s="562"/>
      <c r="W90" s="95"/>
      <c r="X90" s="13"/>
      <c r="Y90" s="254"/>
      <c r="Z90" s="255"/>
      <c r="AA90" s="562"/>
      <c r="AB90" s="95"/>
      <c r="AC90" s="13"/>
      <c r="AD90" s="254"/>
      <c r="AE90" s="255"/>
      <c r="AF90" s="644"/>
      <c r="AG90" s="198"/>
      <c r="AH90" s="199"/>
      <c r="AI90" s="200"/>
      <c r="AJ90" s="197"/>
      <c r="AK90" s="91"/>
      <c r="AL90"/>
      <c r="AM90"/>
      <c r="AN90"/>
      <c r="AO90"/>
      <c r="AP90"/>
      <c r="AQ90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86" s="1" customFormat="1" ht="18" hidden="1" customHeight="1">
      <c r="A91" s="540"/>
      <c r="B91" s="644"/>
      <c r="C91" s="194"/>
      <c r="D91" s="195"/>
      <c r="E91" s="196"/>
      <c r="F91" s="197"/>
      <c r="G91" s="587"/>
      <c r="H91" s="95"/>
      <c r="I91" s="13"/>
      <c r="J91" s="254"/>
      <c r="K91" s="255"/>
      <c r="L91" s="562"/>
      <c r="M91" s="95"/>
      <c r="N91" s="13"/>
      <c r="O91" s="254"/>
      <c r="P91" s="255"/>
      <c r="Q91" s="562"/>
      <c r="R91" s="95"/>
      <c r="S91" s="13"/>
      <c r="T91" s="254"/>
      <c r="U91" s="255"/>
      <c r="V91" s="562"/>
      <c r="W91" s="95"/>
      <c r="X91" s="13"/>
      <c r="Y91" s="254"/>
      <c r="Z91" s="255"/>
      <c r="AA91" s="562"/>
      <c r="AB91" s="95"/>
      <c r="AC91" s="13"/>
      <c r="AD91" s="254"/>
      <c r="AE91" s="255"/>
      <c r="AF91" s="644"/>
      <c r="AG91" s="198"/>
      <c r="AH91" s="199"/>
      <c r="AI91" s="200"/>
      <c r="AJ91" s="197"/>
      <c r="AK91" s="91"/>
      <c r="AL91"/>
      <c r="AM91"/>
      <c r="AN91"/>
      <c r="AO91"/>
      <c r="AP91"/>
      <c r="AQ91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86" s="1" customFormat="1" ht="18" hidden="1" customHeight="1">
      <c r="A92" s="540"/>
      <c r="B92" s="644"/>
      <c r="C92" s="194"/>
      <c r="D92" s="195"/>
      <c r="E92" s="196"/>
      <c r="F92" s="197"/>
      <c r="G92" s="587"/>
      <c r="H92" s="95"/>
      <c r="I92" s="13"/>
      <c r="J92" s="254"/>
      <c r="K92" s="255"/>
      <c r="L92" s="562"/>
      <c r="M92" s="95"/>
      <c r="N92" s="13"/>
      <c r="O92" s="254"/>
      <c r="P92" s="255"/>
      <c r="Q92" s="562"/>
      <c r="R92" s="95"/>
      <c r="S92" s="13"/>
      <c r="T92" s="254"/>
      <c r="U92" s="255"/>
      <c r="V92" s="562"/>
      <c r="W92" s="95"/>
      <c r="X92" s="13"/>
      <c r="Y92" s="254"/>
      <c r="Z92" s="255"/>
      <c r="AA92" s="562"/>
      <c r="AB92" s="95"/>
      <c r="AC92" s="13"/>
      <c r="AD92" s="254"/>
      <c r="AE92" s="255"/>
      <c r="AF92" s="644"/>
      <c r="AG92" s="198"/>
      <c r="AH92" s="199"/>
      <c r="AI92" s="200"/>
      <c r="AJ92" s="197"/>
      <c r="AK92" s="91"/>
      <c r="AL92"/>
      <c r="AM92"/>
      <c r="AN92"/>
      <c r="AO92"/>
      <c r="AP92"/>
      <c r="AQ92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86" s="1" customFormat="1" ht="18" hidden="1" customHeight="1">
      <c r="A93" s="541"/>
      <c r="B93" s="645"/>
      <c r="C93" s="201"/>
      <c r="D93" s="202"/>
      <c r="E93" s="203"/>
      <c r="F93" s="204"/>
      <c r="G93" s="588"/>
      <c r="H93" s="95"/>
      <c r="I93" s="13"/>
      <c r="J93" s="254"/>
      <c r="K93" s="255"/>
      <c r="L93" s="563"/>
      <c r="M93" s="95"/>
      <c r="N93" s="13"/>
      <c r="O93" s="254"/>
      <c r="P93" s="255"/>
      <c r="Q93" s="563"/>
      <c r="R93" s="95"/>
      <c r="S93" s="13"/>
      <c r="T93" s="254"/>
      <c r="U93" s="255"/>
      <c r="V93" s="563"/>
      <c r="W93" s="95"/>
      <c r="X93" s="13"/>
      <c r="Y93" s="254"/>
      <c r="Z93" s="255"/>
      <c r="AA93" s="563"/>
      <c r="AB93" s="95"/>
      <c r="AC93" s="13"/>
      <c r="AD93" s="254"/>
      <c r="AE93" s="255"/>
      <c r="AF93" s="645"/>
      <c r="AG93" s="205"/>
      <c r="AH93" s="206"/>
      <c r="AI93" s="207"/>
      <c r="AJ93" s="204"/>
      <c r="AK93" s="91"/>
      <c r="AL93"/>
      <c r="AM93"/>
      <c r="AN93"/>
      <c r="AO93"/>
      <c r="AP93"/>
      <c r="AQ93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86" s="1" customFormat="1" ht="18" customHeight="1">
      <c r="A94" s="592" t="s">
        <v>52</v>
      </c>
      <c r="B94" s="643"/>
      <c r="C94" s="188"/>
      <c r="D94" s="188"/>
      <c r="E94" s="189"/>
      <c r="F94" s="37"/>
      <c r="G94" s="639"/>
      <c r="H94" s="93"/>
      <c r="I94" s="9"/>
      <c r="J94" s="253"/>
      <c r="K94" s="223"/>
      <c r="L94" s="567"/>
      <c r="M94" s="93"/>
      <c r="N94" s="9"/>
      <c r="O94" s="253"/>
      <c r="P94" s="223"/>
      <c r="Q94" s="567"/>
      <c r="R94" s="93"/>
      <c r="S94" s="9"/>
      <c r="T94" s="253"/>
      <c r="U94" s="223"/>
      <c r="V94" s="567"/>
      <c r="W94" s="93"/>
      <c r="X94" s="9"/>
      <c r="Y94" s="253"/>
      <c r="Z94" s="223"/>
      <c r="AA94" s="567"/>
      <c r="AB94" s="93"/>
      <c r="AC94" s="9"/>
      <c r="AD94" s="253"/>
      <c r="AE94" s="223"/>
      <c r="AF94" s="643"/>
      <c r="AG94" s="191"/>
      <c r="AH94" s="192"/>
      <c r="AI94" s="193"/>
      <c r="AJ94" s="190"/>
      <c r="AK94" s="91"/>
      <c r="AL94"/>
      <c r="AM94"/>
      <c r="AN94"/>
      <c r="AO94"/>
      <c r="AP94"/>
      <c r="AQ9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86" s="1" customFormat="1" ht="18" customHeight="1">
      <c r="A95" s="515"/>
      <c r="B95" s="649"/>
      <c r="C95" s="195"/>
      <c r="D95" s="195"/>
      <c r="E95" s="196"/>
      <c r="F95" s="199"/>
      <c r="G95" s="640"/>
      <c r="H95" s="97"/>
      <c r="I95" s="13"/>
      <c r="J95" s="254"/>
      <c r="K95" s="255"/>
      <c r="L95" s="568"/>
      <c r="M95" s="97"/>
      <c r="N95" s="13"/>
      <c r="O95" s="254"/>
      <c r="P95" s="255"/>
      <c r="Q95" s="568"/>
      <c r="R95" s="97"/>
      <c r="S95" s="13"/>
      <c r="T95" s="254"/>
      <c r="U95" s="255"/>
      <c r="V95" s="568"/>
      <c r="W95" s="97"/>
      <c r="X95" s="13"/>
      <c r="Y95" s="254"/>
      <c r="Z95" s="255"/>
      <c r="AA95" s="568"/>
      <c r="AB95" s="97"/>
      <c r="AC95" s="13"/>
      <c r="AD95" s="254"/>
      <c r="AE95" s="255"/>
      <c r="AF95" s="644"/>
      <c r="AG95" s="198"/>
      <c r="AH95" s="199"/>
      <c r="AI95" s="200"/>
      <c r="AJ95" s="197"/>
      <c r="AK95" s="91"/>
      <c r="AL95"/>
      <c r="AM95"/>
      <c r="AN95"/>
      <c r="AO95"/>
      <c r="AP95"/>
      <c r="AQ95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86" s="1" customFormat="1" ht="18" customHeight="1">
      <c r="A96" s="515"/>
      <c r="B96" s="649"/>
      <c r="C96" s="195"/>
      <c r="D96" s="195"/>
      <c r="E96" s="196"/>
      <c r="F96" s="199"/>
      <c r="G96" s="640"/>
      <c r="H96" s="97"/>
      <c r="I96" s="13"/>
      <c r="J96" s="254"/>
      <c r="K96" s="255"/>
      <c r="L96" s="568"/>
      <c r="M96" s="97"/>
      <c r="N96" s="13"/>
      <c r="O96" s="254"/>
      <c r="P96" s="255"/>
      <c r="Q96" s="568"/>
      <c r="R96" s="97"/>
      <c r="S96" s="13"/>
      <c r="T96" s="254"/>
      <c r="U96" s="255"/>
      <c r="V96" s="568"/>
      <c r="W96" s="97"/>
      <c r="X96" s="13"/>
      <c r="Y96" s="254"/>
      <c r="Z96" s="255"/>
      <c r="AA96" s="568"/>
      <c r="AB96" s="97"/>
      <c r="AC96" s="13"/>
      <c r="AD96" s="254"/>
      <c r="AE96" s="255"/>
      <c r="AF96" s="644"/>
      <c r="AG96" s="198"/>
      <c r="AH96" s="199"/>
      <c r="AI96" s="200"/>
      <c r="AJ96" s="197"/>
      <c r="AK96" s="91"/>
      <c r="AL96"/>
      <c r="AM96"/>
      <c r="AN96"/>
      <c r="AO96"/>
      <c r="AP96"/>
      <c r="AQ96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1:86" s="1" customFormat="1" ht="18" customHeight="1">
      <c r="A97" s="515"/>
      <c r="B97" s="649"/>
      <c r="C97" s="195"/>
      <c r="D97" s="195"/>
      <c r="E97" s="196"/>
      <c r="F97" s="209"/>
      <c r="G97" s="640"/>
      <c r="H97" s="97"/>
      <c r="I97" s="13"/>
      <c r="J97" s="254"/>
      <c r="K97" s="255"/>
      <c r="L97" s="568"/>
      <c r="M97" s="97"/>
      <c r="N97" s="13"/>
      <c r="O97" s="254"/>
      <c r="P97" s="255"/>
      <c r="Q97" s="568"/>
      <c r="R97" s="97"/>
      <c r="S97" s="13"/>
      <c r="T97" s="254"/>
      <c r="U97" s="255"/>
      <c r="V97" s="568"/>
      <c r="W97" s="97"/>
      <c r="X97" s="13"/>
      <c r="Y97" s="254"/>
      <c r="Z97" s="255"/>
      <c r="AA97" s="568"/>
      <c r="AB97" s="97"/>
      <c r="AC97" s="13"/>
      <c r="AD97" s="254"/>
      <c r="AE97" s="255"/>
      <c r="AF97" s="644"/>
      <c r="AG97" s="198"/>
      <c r="AH97" s="199"/>
      <c r="AI97" s="200"/>
      <c r="AJ97" s="197"/>
      <c r="AK97" s="91"/>
      <c r="AL97"/>
      <c r="AM97"/>
      <c r="AN97"/>
      <c r="AO97"/>
      <c r="AP97"/>
      <c r="AQ97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1:86" s="1" customFormat="1" ht="18" customHeight="1">
      <c r="A98" s="515"/>
      <c r="B98" s="649"/>
      <c r="C98" s="195"/>
      <c r="D98" s="195"/>
      <c r="E98" s="196"/>
      <c r="F98" s="199"/>
      <c r="G98" s="640"/>
      <c r="H98" s="97"/>
      <c r="I98" s="13"/>
      <c r="J98" s="254"/>
      <c r="K98" s="255"/>
      <c r="L98" s="568"/>
      <c r="M98" s="97"/>
      <c r="N98" s="13"/>
      <c r="O98" s="254"/>
      <c r="P98" s="255"/>
      <c r="Q98" s="568"/>
      <c r="R98" s="97"/>
      <c r="S98" s="13"/>
      <c r="T98" s="254"/>
      <c r="U98" s="255"/>
      <c r="V98" s="568"/>
      <c r="W98" s="97"/>
      <c r="X98" s="13"/>
      <c r="Y98" s="254"/>
      <c r="Z98" s="263"/>
      <c r="AA98" s="568"/>
      <c r="AB98" s="97"/>
      <c r="AC98" s="13"/>
      <c r="AD98" s="254"/>
      <c r="AE98" s="255"/>
      <c r="AF98" s="644"/>
      <c r="AG98" s="198"/>
      <c r="AH98" s="199"/>
      <c r="AI98" s="200"/>
      <c r="AJ98" s="197"/>
      <c r="AK98" s="91"/>
      <c r="AL98"/>
      <c r="AM98"/>
      <c r="AN98"/>
      <c r="AO98"/>
      <c r="AP98"/>
      <c r="AQ98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1:86" s="1" customFormat="1" ht="18" customHeight="1">
      <c r="A99" s="515"/>
      <c r="B99" s="649"/>
      <c r="C99" s="195"/>
      <c r="D99" s="195"/>
      <c r="E99" s="196"/>
      <c r="F99" s="209"/>
      <c r="G99" s="640"/>
      <c r="H99" s="97"/>
      <c r="I99" s="13"/>
      <c r="J99" s="254"/>
      <c r="K99" s="255"/>
      <c r="L99" s="568"/>
      <c r="M99" s="97"/>
      <c r="N99" s="13"/>
      <c r="O99" s="254"/>
      <c r="P99" s="255"/>
      <c r="Q99" s="568"/>
      <c r="R99" s="97"/>
      <c r="S99" s="13"/>
      <c r="T99" s="254"/>
      <c r="U99" s="255"/>
      <c r="V99" s="568"/>
      <c r="W99" s="97"/>
      <c r="X99" s="13"/>
      <c r="Y99" s="254"/>
      <c r="Z99" s="255"/>
      <c r="AA99" s="568"/>
      <c r="AB99" s="97"/>
      <c r="AC99" s="13"/>
      <c r="AD99" s="254"/>
      <c r="AE99" s="255"/>
      <c r="AF99" s="644"/>
      <c r="AG99" s="198"/>
      <c r="AH99" s="199"/>
      <c r="AI99" s="200"/>
      <c r="AJ99" s="197"/>
      <c r="AK99" s="91"/>
      <c r="AL99"/>
      <c r="AM99"/>
      <c r="AN99"/>
      <c r="AO99"/>
      <c r="AP99"/>
      <c r="AQ99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1:86" s="1" customFormat="1" ht="18" customHeight="1" thickBot="1">
      <c r="A100" s="515"/>
      <c r="B100" s="649"/>
      <c r="C100" s="195"/>
      <c r="D100" s="195"/>
      <c r="E100" s="196"/>
      <c r="F100" s="209"/>
      <c r="G100" s="640"/>
      <c r="H100" s="94"/>
      <c r="I100" s="14"/>
      <c r="J100" s="261"/>
      <c r="K100" s="257"/>
      <c r="L100" s="568"/>
      <c r="M100" s="94"/>
      <c r="N100" s="14"/>
      <c r="O100" s="261"/>
      <c r="P100" s="257"/>
      <c r="Q100" s="568"/>
      <c r="R100" s="94"/>
      <c r="S100" s="14"/>
      <c r="T100" s="261"/>
      <c r="U100" s="257"/>
      <c r="V100" s="568"/>
      <c r="W100" s="94"/>
      <c r="X100" s="14"/>
      <c r="Y100" s="261"/>
      <c r="Z100" s="257"/>
      <c r="AA100" s="568"/>
      <c r="AB100" s="94"/>
      <c r="AC100" s="14"/>
      <c r="AD100" s="261"/>
      <c r="AE100" s="257"/>
      <c r="AF100" s="644"/>
      <c r="AG100" s="198"/>
      <c r="AH100" s="199"/>
      <c r="AI100" s="200"/>
      <c r="AJ100" s="197"/>
      <c r="AK100" s="91"/>
      <c r="AL100"/>
      <c r="AM100"/>
      <c r="AN100"/>
      <c r="AO100"/>
      <c r="AP100"/>
      <c r="AQ100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1:86" s="1" customFormat="1" ht="18" hidden="1" customHeight="1" thickBot="1">
      <c r="A101" s="515"/>
      <c r="B101" s="649"/>
      <c r="C101" s="195"/>
      <c r="D101" s="195"/>
      <c r="E101" s="196"/>
      <c r="F101" s="209"/>
      <c r="G101" s="640"/>
      <c r="H101" s="95"/>
      <c r="I101" s="13"/>
      <c r="J101" s="254"/>
      <c r="K101" s="255"/>
      <c r="L101" s="568"/>
      <c r="M101" s="95"/>
      <c r="N101" s="13"/>
      <c r="O101" s="254"/>
      <c r="P101" s="255"/>
      <c r="Q101" s="568"/>
      <c r="R101" s="95"/>
      <c r="S101" s="13"/>
      <c r="T101" s="254"/>
      <c r="U101" s="255"/>
      <c r="V101" s="568"/>
      <c r="W101" s="95"/>
      <c r="X101" s="13"/>
      <c r="Y101" s="254"/>
      <c r="Z101" s="255"/>
      <c r="AA101" s="568"/>
      <c r="AB101" s="95"/>
      <c r="AC101" s="13"/>
      <c r="AD101" s="254"/>
      <c r="AE101" s="255"/>
      <c r="AF101" s="644"/>
      <c r="AG101" s="198"/>
      <c r="AH101" s="199"/>
      <c r="AI101" s="200"/>
      <c r="AJ101" s="197"/>
      <c r="AK101" s="91"/>
      <c r="AL101"/>
      <c r="AM101"/>
      <c r="AN101"/>
      <c r="AO101"/>
      <c r="AP101"/>
      <c r="AQ101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1:86" s="1" customFormat="1" ht="18" hidden="1" customHeight="1">
      <c r="A102" s="515"/>
      <c r="B102" s="649"/>
      <c r="C102" s="195"/>
      <c r="D102" s="195"/>
      <c r="E102" s="196"/>
      <c r="F102" s="209"/>
      <c r="G102" s="640"/>
      <c r="H102" s="95"/>
      <c r="I102" s="13"/>
      <c r="J102" s="254"/>
      <c r="K102" s="255"/>
      <c r="L102" s="568"/>
      <c r="M102" s="95"/>
      <c r="N102" s="13"/>
      <c r="O102" s="254"/>
      <c r="P102" s="255"/>
      <c r="Q102" s="568"/>
      <c r="R102" s="95"/>
      <c r="S102" s="13"/>
      <c r="T102" s="254"/>
      <c r="U102" s="255"/>
      <c r="V102" s="568"/>
      <c r="W102" s="95"/>
      <c r="X102" s="13"/>
      <c r="Y102" s="254"/>
      <c r="Z102" s="255"/>
      <c r="AA102" s="568"/>
      <c r="AB102" s="95"/>
      <c r="AC102" s="13"/>
      <c r="AD102" s="254"/>
      <c r="AE102" s="255"/>
      <c r="AF102" s="644"/>
      <c r="AG102" s="198"/>
      <c r="AH102" s="199"/>
      <c r="AI102" s="200"/>
      <c r="AJ102" s="197"/>
      <c r="AK102" s="91"/>
      <c r="AL102"/>
      <c r="AM102"/>
      <c r="AN102"/>
      <c r="AO102"/>
      <c r="AP102"/>
      <c r="AQ102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1:86" s="1" customFormat="1" ht="18" hidden="1" customHeight="1">
      <c r="A103" s="515"/>
      <c r="B103" s="649"/>
      <c r="C103" s="195"/>
      <c r="D103" s="195"/>
      <c r="E103" s="196"/>
      <c r="F103" s="209"/>
      <c r="G103" s="640"/>
      <c r="H103" s="95"/>
      <c r="I103" s="13"/>
      <c r="J103" s="254"/>
      <c r="K103" s="258"/>
      <c r="L103" s="568"/>
      <c r="M103" s="95"/>
      <c r="N103" s="13"/>
      <c r="O103" s="254"/>
      <c r="P103" s="258"/>
      <c r="Q103" s="568"/>
      <c r="R103" s="95"/>
      <c r="S103" s="13"/>
      <c r="T103" s="254"/>
      <c r="U103" s="258"/>
      <c r="V103" s="568"/>
      <c r="W103" s="95"/>
      <c r="X103" s="13"/>
      <c r="Y103" s="254"/>
      <c r="Z103" s="258"/>
      <c r="AA103" s="568"/>
      <c r="AB103" s="95"/>
      <c r="AC103" s="13"/>
      <c r="AD103" s="254"/>
      <c r="AE103" s="258"/>
      <c r="AF103" s="644"/>
      <c r="AG103" s="198"/>
      <c r="AH103" s="199"/>
      <c r="AI103" s="200"/>
      <c r="AJ103" s="197"/>
      <c r="AK103" s="91"/>
      <c r="AL103"/>
      <c r="AM103"/>
      <c r="AN103"/>
      <c r="AO103"/>
      <c r="AP103"/>
      <c r="AQ103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86" s="1" customFormat="1" ht="18" hidden="1" customHeight="1">
      <c r="A104" s="515"/>
      <c r="B104" s="649"/>
      <c r="C104" s="195"/>
      <c r="D104" s="195"/>
      <c r="E104" s="196"/>
      <c r="F104" s="209"/>
      <c r="G104" s="640"/>
      <c r="H104" s="95"/>
      <c r="I104" s="13"/>
      <c r="J104" s="254"/>
      <c r="K104" s="258"/>
      <c r="L104" s="568"/>
      <c r="M104" s="95"/>
      <c r="N104" s="13"/>
      <c r="O104" s="254"/>
      <c r="P104" s="258"/>
      <c r="Q104" s="568"/>
      <c r="R104" s="95"/>
      <c r="S104" s="13"/>
      <c r="T104" s="254"/>
      <c r="U104" s="258"/>
      <c r="V104" s="568"/>
      <c r="W104" s="95"/>
      <c r="X104" s="13"/>
      <c r="Y104" s="254"/>
      <c r="Z104" s="258"/>
      <c r="AA104" s="568"/>
      <c r="AB104" s="95"/>
      <c r="AC104" s="13"/>
      <c r="AD104" s="254"/>
      <c r="AE104" s="258"/>
      <c r="AF104" s="644"/>
      <c r="AG104" s="198"/>
      <c r="AH104" s="199"/>
      <c r="AI104" s="200"/>
      <c r="AJ104" s="197"/>
      <c r="AK104" s="91"/>
      <c r="AL104"/>
      <c r="AM104"/>
      <c r="AN104"/>
      <c r="AO104"/>
      <c r="AP104"/>
      <c r="AQ10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86" s="1" customFormat="1" ht="18" hidden="1" customHeight="1">
      <c r="A105" s="515"/>
      <c r="B105" s="649"/>
      <c r="C105" s="195"/>
      <c r="D105" s="195"/>
      <c r="E105" s="196"/>
      <c r="F105" s="209"/>
      <c r="G105" s="640"/>
      <c r="H105" s="95"/>
      <c r="I105" s="13"/>
      <c r="J105" s="254"/>
      <c r="K105" s="258"/>
      <c r="L105" s="568"/>
      <c r="M105" s="95"/>
      <c r="N105" s="13"/>
      <c r="O105" s="254"/>
      <c r="P105" s="258"/>
      <c r="Q105" s="568"/>
      <c r="R105" s="95"/>
      <c r="S105" s="13"/>
      <c r="T105" s="254"/>
      <c r="U105" s="258"/>
      <c r="V105" s="568"/>
      <c r="W105" s="95"/>
      <c r="X105" s="13"/>
      <c r="Y105" s="254"/>
      <c r="Z105" s="258"/>
      <c r="AA105" s="568"/>
      <c r="AB105" s="95"/>
      <c r="AC105" s="13"/>
      <c r="AD105" s="254"/>
      <c r="AE105" s="258"/>
      <c r="AF105" s="644"/>
      <c r="AG105" s="198"/>
      <c r="AH105" s="199"/>
      <c r="AI105" s="200"/>
      <c r="AJ105" s="197"/>
      <c r="AK105" s="91"/>
      <c r="AL105"/>
      <c r="AM105"/>
      <c r="AN105"/>
      <c r="AO105"/>
      <c r="AP105"/>
      <c r="AQ105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86" s="1" customFormat="1" ht="18" hidden="1" customHeight="1">
      <c r="A106" s="515"/>
      <c r="B106" s="649"/>
      <c r="C106" s="195"/>
      <c r="D106" s="195"/>
      <c r="E106" s="196"/>
      <c r="F106" s="209"/>
      <c r="G106" s="640"/>
      <c r="H106" s="95"/>
      <c r="I106" s="13"/>
      <c r="J106" s="254"/>
      <c r="K106" s="258"/>
      <c r="L106" s="568"/>
      <c r="M106" s="95"/>
      <c r="N106" s="13"/>
      <c r="O106" s="254"/>
      <c r="P106" s="258"/>
      <c r="Q106" s="568"/>
      <c r="R106" s="95"/>
      <c r="S106" s="13"/>
      <c r="T106" s="254"/>
      <c r="U106" s="258"/>
      <c r="V106" s="568"/>
      <c r="W106" s="95"/>
      <c r="X106" s="13"/>
      <c r="Y106" s="254"/>
      <c r="Z106" s="258"/>
      <c r="AA106" s="568"/>
      <c r="AB106" s="95"/>
      <c r="AC106" s="13"/>
      <c r="AD106" s="254"/>
      <c r="AE106" s="258"/>
      <c r="AF106" s="644"/>
      <c r="AG106" s="198"/>
      <c r="AH106" s="199"/>
      <c r="AI106" s="200"/>
      <c r="AJ106" s="197"/>
      <c r="AK106" s="91"/>
      <c r="AL106"/>
      <c r="AM106"/>
      <c r="AN106"/>
      <c r="AO106"/>
      <c r="AP106"/>
      <c r="AQ106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86" s="1" customFormat="1" ht="18" hidden="1" customHeight="1">
      <c r="A107" s="515"/>
      <c r="B107" s="649"/>
      <c r="C107" s="195"/>
      <c r="D107" s="195"/>
      <c r="E107" s="196"/>
      <c r="F107" s="209"/>
      <c r="G107" s="640"/>
      <c r="H107" s="95"/>
      <c r="I107" s="13"/>
      <c r="J107" s="254"/>
      <c r="K107" s="258"/>
      <c r="L107" s="568"/>
      <c r="M107" s="95"/>
      <c r="N107" s="13"/>
      <c r="O107" s="254"/>
      <c r="P107" s="258"/>
      <c r="Q107" s="568"/>
      <c r="R107" s="95"/>
      <c r="S107" s="13"/>
      <c r="T107" s="254"/>
      <c r="U107" s="258"/>
      <c r="V107" s="568"/>
      <c r="W107" s="95"/>
      <c r="X107" s="13"/>
      <c r="Y107" s="254"/>
      <c r="Z107" s="258"/>
      <c r="AA107" s="568"/>
      <c r="AB107" s="95"/>
      <c r="AC107" s="13"/>
      <c r="AD107" s="254"/>
      <c r="AE107" s="258"/>
      <c r="AF107" s="644"/>
      <c r="AG107" s="198"/>
      <c r="AH107" s="199"/>
      <c r="AI107" s="200"/>
      <c r="AJ107" s="197"/>
      <c r="AK107" s="91"/>
      <c r="AL107"/>
      <c r="AM107"/>
      <c r="AN107"/>
      <c r="AO107"/>
      <c r="AP107"/>
      <c r="AQ107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86" s="1" customFormat="1" ht="18" hidden="1" customHeight="1">
      <c r="A108" s="593"/>
      <c r="B108" s="650"/>
      <c r="C108" s="202"/>
      <c r="D108" s="202"/>
      <c r="E108" s="203"/>
      <c r="F108" s="211"/>
      <c r="G108" s="641"/>
      <c r="H108" s="95"/>
      <c r="I108" s="13"/>
      <c r="J108" s="254"/>
      <c r="K108" s="259"/>
      <c r="L108" s="569"/>
      <c r="M108" s="95"/>
      <c r="N108" s="13"/>
      <c r="O108" s="254"/>
      <c r="P108" s="259"/>
      <c r="Q108" s="569"/>
      <c r="R108" s="95"/>
      <c r="S108" s="13"/>
      <c r="T108" s="254"/>
      <c r="U108" s="259"/>
      <c r="V108" s="569"/>
      <c r="W108" s="95"/>
      <c r="X108" s="13"/>
      <c r="Y108" s="254"/>
      <c r="Z108" s="259"/>
      <c r="AA108" s="569"/>
      <c r="AB108" s="95"/>
      <c r="AC108" s="13"/>
      <c r="AD108" s="254"/>
      <c r="AE108" s="259"/>
      <c r="AF108" s="645"/>
      <c r="AG108" s="205"/>
      <c r="AH108" s="206"/>
      <c r="AI108" s="207"/>
      <c r="AJ108" s="204"/>
      <c r="AK108" s="91"/>
      <c r="AL108"/>
      <c r="AM108"/>
      <c r="AN108"/>
      <c r="AO108"/>
      <c r="AP108"/>
      <c r="AQ108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86" s="1" customFormat="1" ht="18" customHeight="1">
      <c r="A109" s="592" t="s">
        <v>53</v>
      </c>
      <c r="B109" s="643"/>
      <c r="C109" s="187"/>
      <c r="D109" s="188"/>
      <c r="E109" s="189"/>
      <c r="F109" s="190"/>
      <c r="G109" s="597"/>
      <c r="H109" s="120"/>
      <c r="I109" s="123"/>
      <c r="J109" s="121"/>
      <c r="K109" s="122"/>
      <c r="L109" s="597"/>
      <c r="M109" s="120"/>
      <c r="N109" s="123"/>
      <c r="O109" s="121"/>
      <c r="P109" s="122"/>
      <c r="Q109" s="597"/>
      <c r="R109" s="120"/>
      <c r="S109" s="123"/>
      <c r="T109" s="121"/>
      <c r="U109" s="122"/>
      <c r="V109" s="597"/>
      <c r="W109" s="120"/>
      <c r="X109" s="123"/>
      <c r="Y109" s="121"/>
      <c r="Z109" s="122"/>
      <c r="AA109" s="597"/>
      <c r="AB109" s="120"/>
      <c r="AC109" s="123"/>
      <c r="AD109" s="121"/>
      <c r="AE109" s="122"/>
      <c r="AF109" s="616"/>
      <c r="AG109" s="97"/>
      <c r="AH109" s="95"/>
      <c r="AI109" s="56"/>
      <c r="AJ109" s="34"/>
      <c r="AK109" s="91"/>
      <c r="AL109"/>
      <c r="AM109"/>
      <c r="AN109"/>
      <c r="AO109"/>
      <c r="AP109"/>
      <c r="AQ109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86" s="1" customFormat="1" ht="18" customHeight="1">
      <c r="A110" s="515"/>
      <c r="B110" s="644"/>
      <c r="C110" s="194"/>
      <c r="D110" s="195"/>
      <c r="E110" s="196"/>
      <c r="F110" s="197"/>
      <c r="G110" s="598"/>
      <c r="H110" s="124"/>
      <c r="I110" s="128"/>
      <c r="J110" s="126"/>
      <c r="K110" s="127"/>
      <c r="L110" s="598"/>
      <c r="M110" s="124"/>
      <c r="N110" s="128"/>
      <c r="O110" s="126"/>
      <c r="P110" s="127"/>
      <c r="Q110" s="598"/>
      <c r="R110" s="124"/>
      <c r="S110" s="128"/>
      <c r="T110" s="126"/>
      <c r="U110" s="127"/>
      <c r="V110" s="598"/>
      <c r="W110" s="124"/>
      <c r="X110" s="128"/>
      <c r="Y110" s="126"/>
      <c r="Z110" s="127"/>
      <c r="AA110" s="598"/>
      <c r="AB110" s="124"/>
      <c r="AC110" s="128"/>
      <c r="AD110" s="126"/>
      <c r="AE110" s="127"/>
      <c r="AF110" s="617"/>
      <c r="AG110" s="97"/>
      <c r="AH110" s="95"/>
      <c r="AI110" s="57"/>
      <c r="AJ110" s="58"/>
      <c r="AK110" s="91"/>
      <c r="AL110"/>
      <c r="AM110"/>
      <c r="AN110"/>
      <c r="AO110"/>
      <c r="AP110"/>
      <c r="AQ110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86" s="1" customFormat="1" ht="18" customHeight="1">
      <c r="A111" s="515"/>
      <c r="B111" s="644"/>
      <c r="C111" s="194"/>
      <c r="D111" s="195"/>
      <c r="E111" s="196"/>
      <c r="F111" s="197"/>
      <c r="G111" s="598"/>
      <c r="H111" s="124"/>
      <c r="I111" s="128"/>
      <c r="J111" s="126"/>
      <c r="K111" s="127"/>
      <c r="L111" s="598"/>
      <c r="M111" s="124"/>
      <c r="N111" s="128"/>
      <c r="O111" s="126"/>
      <c r="P111" s="127"/>
      <c r="Q111" s="598"/>
      <c r="R111" s="124"/>
      <c r="S111" s="128"/>
      <c r="T111" s="126"/>
      <c r="U111" s="127"/>
      <c r="V111" s="598"/>
      <c r="W111" s="124"/>
      <c r="X111" s="128"/>
      <c r="Y111" s="126"/>
      <c r="Z111" s="127"/>
      <c r="AA111" s="598"/>
      <c r="AB111" s="124"/>
      <c r="AC111" s="128"/>
      <c r="AD111" s="126"/>
      <c r="AE111" s="127"/>
      <c r="AF111" s="617"/>
      <c r="AG111" s="97"/>
      <c r="AH111" s="95"/>
      <c r="AI111" s="57"/>
      <c r="AJ111" s="58"/>
      <c r="AK111" s="91"/>
      <c r="AL111"/>
      <c r="AM111"/>
      <c r="AN111"/>
      <c r="AO111"/>
      <c r="AP111"/>
      <c r="AQ111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86" s="1" customFormat="1" ht="18" customHeight="1">
      <c r="A112" s="515"/>
      <c r="B112" s="644"/>
      <c r="C112" s="194"/>
      <c r="D112" s="195"/>
      <c r="E112" s="196"/>
      <c r="F112" s="197"/>
      <c r="G112" s="598"/>
      <c r="H112" s="124"/>
      <c r="I112" s="128"/>
      <c r="J112" s="126"/>
      <c r="K112" s="127"/>
      <c r="L112" s="598"/>
      <c r="M112" s="124"/>
      <c r="N112" s="128"/>
      <c r="O112" s="126"/>
      <c r="P112" s="127"/>
      <c r="Q112" s="598"/>
      <c r="R112" s="124"/>
      <c r="S112" s="128"/>
      <c r="T112" s="126"/>
      <c r="U112" s="127"/>
      <c r="V112" s="598"/>
      <c r="W112" s="124"/>
      <c r="X112" s="128"/>
      <c r="Y112" s="126"/>
      <c r="Z112" s="127"/>
      <c r="AA112" s="598"/>
      <c r="AB112" s="124"/>
      <c r="AC112" s="128"/>
      <c r="AD112" s="126"/>
      <c r="AE112" s="127"/>
      <c r="AF112" s="617"/>
      <c r="AG112" s="97"/>
      <c r="AH112" s="95"/>
      <c r="AI112" s="57"/>
      <c r="AJ112" s="58"/>
      <c r="AK112" s="91"/>
      <c r="AL112"/>
      <c r="AM112"/>
      <c r="AN112"/>
      <c r="AO112"/>
      <c r="AP112"/>
      <c r="AQ112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1:86" s="1" customFormat="1" ht="18" customHeight="1">
      <c r="A113" s="515"/>
      <c r="B113" s="644"/>
      <c r="C113" s="194"/>
      <c r="D113" s="195"/>
      <c r="E113" s="196"/>
      <c r="F113" s="197"/>
      <c r="G113" s="598"/>
      <c r="H113" s="124"/>
      <c r="I113" s="128"/>
      <c r="J113" s="126"/>
      <c r="K113" s="127"/>
      <c r="L113" s="598"/>
      <c r="M113" s="124"/>
      <c r="N113" s="128"/>
      <c r="O113" s="126"/>
      <c r="P113" s="127"/>
      <c r="Q113" s="598"/>
      <c r="R113" s="124"/>
      <c r="S113" s="128"/>
      <c r="T113" s="126"/>
      <c r="U113" s="127"/>
      <c r="V113" s="598"/>
      <c r="W113" s="124"/>
      <c r="X113" s="128"/>
      <c r="Y113" s="126"/>
      <c r="Z113" s="127"/>
      <c r="AA113" s="598"/>
      <c r="AB113" s="124"/>
      <c r="AC113" s="128"/>
      <c r="AD113" s="126"/>
      <c r="AE113" s="127"/>
      <c r="AF113" s="617"/>
      <c r="AG113" s="97"/>
      <c r="AH113" s="95"/>
      <c r="AI113" s="57"/>
      <c r="AJ113" s="58"/>
      <c r="AK113" s="91"/>
      <c r="AL113"/>
      <c r="AM113"/>
      <c r="AN113"/>
      <c r="AO113"/>
      <c r="AP113"/>
      <c r="AQ113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1:86" s="1" customFormat="1" ht="18" customHeight="1">
      <c r="A114" s="515"/>
      <c r="B114" s="644"/>
      <c r="C114" s="194"/>
      <c r="D114" s="195"/>
      <c r="E114" s="196"/>
      <c r="F114" s="197"/>
      <c r="G114" s="598"/>
      <c r="H114" s="124"/>
      <c r="I114" s="128"/>
      <c r="J114" s="126"/>
      <c r="K114" s="127"/>
      <c r="L114" s="598"/>
      <c r="M114" s="124"/>
      <c r="N114" s="128"/>
      <c r="O114" s="126"/>
      <c r="P114" s="127"/>
      <c r="Q114" s="598"/>
      <c r="R114" s="124"/>
      <c r="S114" s="128"/>
      <c r="T114" s="126"/>
      <c r="U114" s="127"/>
      <c r="V114" s="598"/>
      <c r="W114" s="124"/>
      <c r="X114" s="128"/>
      <c r="Y114" s="126"/>
      <c r="Z114" s="127"/>
      <c r="AA114" s="598"/>
      <c r="AB114" s="124"/>
      <c r="AC114" s="128"/>
      <c r="AD114" s="126"/>
      <c r="AE114" s="127"/>
      <c r="AF114" s="617"/>
      <c r="AG114" s="97"/>
      <c r="AH114" s="95"/>
      <c r="AI114" s="57"/>
      <c r="AJ114" s="58"/>
      <c r="AK114" s="91"/>
      <c r="AL114"/>
      <c r="AM114"/>
      <c r="AN114"/>
      <c r="AO114"/>
      <c r="AP114"/>
      <c r="AQ11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1:86" s="1" customFormat="1" ht="18" customHeight="1" thickBot="1">
      <c r="A115" s="515"/>
      <c r="B115" s="644"/>
      <c r="C115" s="194"/>
      <c r="D115" s="195"/>
      <c r="E115" s="196"/>
      <c r="F115" s="197"/>
      <c r="G115" s="598"/>
      <c r="H115" s="129"/>
      <c r="I115" s="132"/>
      <c r="J115" s="126"/>
      <c r="K115" s="127"/>
      <c r="L115" s="598"/>
      <c r="M115" s="129"/>
      <c r="N115" s="132"/>
      <c r="O115" s="126"/>
      <c r="P115" s="127"/>
      <c r="Q115" s="598"/>
      <c r="R115" s="129"/>
      <c r="S115" s="132"/>
      <c r="T115" s="126"/>
      <c r="U115" s="127"/>
      <c r="V115" s="598"/>
      <c r="W115" s="129"/>
      <c r="X115" s="132"/>
      <c r="Y115" s="126"/>
      <c r="Z115" s="127"/>
      <c r="AA115" s="598"/>
      <c r="AB115" s="129"/>
      <c r="AC115" s="132"/>
      <c r="AD115" s="126"/>
      <c r="AE115" s="127"/>
      <c r="AF115" s="617"/>
      <c r="AG115" s="94"/>
      <c r="AH115" s="96"/>
      <c r="AI115" s="210"/>
      <c r="AJ115" s="103"/>
      <c r="AK115" s="91"/>
      <c r="AL115"/>
      <c r="AM115"/>
      <c r="AN115"/>
      <c r="AO115"/>
      <c r="AP115"/>
      <c r="AQ115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1:86" s="1" customFormat="1" ht="18" hidden="1" customHeight="1" thickBot="1">
      <c r="A116" s="515"/>
      <c r="B116" s="644"/>
      <c r="C116" s="194"/>
      <c r="D116" s="195"/>
      <c r="E116" s="196"/>
      <c r="F116" s="197"/>
      <c r="G116" s="598"/>
      <c r="H116" s="226"/>
      <c r="I116" s="128"/>
      <c r="J116" s="126"/>
      <c r="K116" s="127"/>
      <c r="L116" s="598"/>
      <c r="M116" s="226"/>
      <c r="N116" s="128"/>
      <c r="O116" s="126"/>
      <c r="P116" s="127"/>
      <c r="Q116" s="598"/>
      <c r="R116" s="226"/>
      <c r="S116" s="128"/>
      <c r="T116" s="126"/>
      <c r="U116" s="127"/>
      <c r="V116" s="598"/>
      <c r="W116" s="226"/>
      <c r="X116" s="128"/>
      <c r="Y116" s="126"/>
      <c r="Z116" s="127"/>
      <c r="AA116" s="598"/>
      <c r="AB116" s="226"/>
      <c r="AC116" s="128"/>
      <c r="AD116" s="126"/>
      <c r="AE116" s="127"/>
      <c r="AF116" s="617"/>
      <c r="AG116" s="95"/>
      <c r="AH116" s="95"/>
      <c r="AI116" s="57"/>
      <c r="AJ116" s="58"/>
      <c r="AK116" s="91"/>
      <c r="AL116"/>
      <c r="AM116"/>
      <c r="AN116"/>
      <c r="AO116"/>
      <c r="AP116"/>
      <c r="AQ116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1:86" s="1" customFormat="1" ht="18" hidden="1" customHeight="1">
      <c r="A117" s="515"/>
      <c r="B117" s="644"/>
      <c r="C117" s="194"/>
      <c r="D117" s="195"/>
      <c r="E117" s="196"/>
      <c r="F117" s="197"/>
      <c r="G117" s="598"/>
      <c r="H117" s="226"/>
      <c r="I117" s="128"/>
      <c r="J117" s="126"/>
      <c r="K117" s="127"/>
      <c r="L117" s="598"/>
      <c r="M117" s="226"/>
      <c r="N117" s="128"/>
      <c r="O117" s="126"/>
      <c r="P117" s="127"/>
      <c r="Q117" s="598"/>
      <c r="R117" s="226"/>
      <c r="S117" s="128"/>
      <c r="T117" s="126"/>
      <c r="U117" s="127"/>
      <c r="V117" s="598"/>
      <c r="W117" s="226"/>
      <c r="X117" s="128"/>
      <c r="Y117" s="126"/>
      <c r="Z117" s="127"/>
      <c r="AA117" s="598"/>
      <c r="AB117" s="226"/>
      <c r="AC117" s="128"/>
      <c r="AD117" s="126"/>
      <c r="AE117" s="127"/>
      <c r="AF117" s="617"/>
      <c r="AG117" s="95"/>
      <c r="AH117" s="95"/>
      <c r="AI117" s="57"/>
      <c r="AJ117" s="58"/>
      <c r="AK117" s="91"/>
      <c r="AL117"/>
      <c r="AM117"/>
      <c r="AN117"/>
      <c r="AO117"/>
      <c r="AP117"/>
      <c r="AQ117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1:86" s="1" customFormat="1" ht="18" hidden="1" customHeight="1">
      <c r="A118" s="515"/>
      <c r="B118" s="644"/>
      <c r="C118" s="194"/>
      <c r="D118" s="195"/>
      <c r="E118" s="196"/>
      <c r="F118" s="197"/>
      <c r="G118" s="598"/>
      <c r="H118" s="226"/>
      <c r="I118" s="128"/>
      <c r="J118" s="126"/>
      <c r="K118" s="133"/>
      <c r="L118" s="598"/>
      <c r="M118" s="226"/>
      <c r="N118" s="128"/>
      <c r="O118" s="126"/>
      <c r="P118" s="133"/>
      <c r="Q118" s="598"/>
      <c r="R118" s="226"/>
      <c r="S118" s="128"/>
      <c r="T118" s="126"/>
      <c r="U118" s="133"/>
      <c r="V118" s="598"/>
      <c r="W118" s="226"/>
      <c r="X118" s="128"/>
      <c r="Y118" s="126"/>
      <c r="Z118" s="133"/>
      <c r="AA118" s="598"/>
      <c r="AB118" s="226"/>
      <c r="AC118" s="128"/>
      <c r="AD118" s="126"/>
      <c r="AE118" s="133"/>
      <c r="AF118" s="617"/>
      <c r="AG118" s="95"/>
      <c r="AH118" s="95"/>
      <c r="AI118" s="57"/>
      <c r="AJ118" s="104"/>
      <c r="AK118" s="91"/>
      <c r="AL118"/>
      <c r="AM118"/>
      <c r="AN118"/>
      <c r="AO118"/>
      <c r="AP118"/>
      <c r="AQ118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1:86" s="1" customFormat="1" ht="18" hidden="1" customHeight="1">
      <c r="A119" s="515"/>
      <c r="B119" s="644"/>
      <c r="C119" s="194"/>
      <c r="D119" s="195"/>
      <c r="E119" s="196"/>
      <c r="F119" s="197"/>
      <c r="G119" s="598"/>
      <c r="H119" s="226"/>
      <c r="I119" s="128"/>
      <c r="J119" s="126"/>
      <c r="K119" s="133"/>
      <c r="L119" s="598"/>
      <c r="M119" s="226"/>
      <c r="N119" s="128"/>
      <c r="O119" s="126"/>
      <c r="P119" s="133"/>
      <c r="Q119" s="598"/>
      <c r="R119" s="226"/>
      <c r="S119" s="128"/>
      <c r="T119" s="126"/>
      <c r="U119" s="133"/>
      <c r="V119" s="598"/>
      <c r="W119" s="226"/>
      <c r="X119" s="128"/>
      <c r="Y119" s="126"/>
      <c r="Z119" s="133"/>
      <c r="AA119" s="598"/>
      <c r="AB119" s="226"/>
      <c r="AC119" s="128"/>
      <c r="AD119" s="126"/>
      <c r="AE119" s="133"/>
      <c r="AF119" s="617"/>
      <c r="AG119" s="95"/>
      <c r="AH119" s="95"/>
      <c r="AI119" s="57"/>
      <c r="AJ119" s="104"/>
      <c r="AK119" s="91"/>
      <c r="AL119"/>
      <c r="AM119"/>
      <c r="AN119"/>
      <c r="AO119"/>
      <c r="AP119"/>
      <c r="AQ119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1:86" s="1" customFormat="1" ht="18" hidden="1" customHeight="1">
      <c r="A120" s="515"/>
      <c r="B120" s="644"/>
      <c r="C120" s="194"/>
      <c r="D120" s="195"/>
      <c r="E120" s="196"/>
      <c r="F120" s="197"/>
      <c r="G120" s="598"/>
      <c r="H120" s="226"/>
      <c r="I120" s="128"/>
      <c r="J120" s="126"/>
      <c r="K120" s="133"/>
      <c r="L120" s="598"/>
      <c r="M120" s="226"/>
      <c r="N120" s="128"/>
      <c r="O120" s="126"/>
      <c r="P120" s="133"/>
      <c r="Q120" s="598"/>
      <c r="R120" s="226"/>
      <c r="S120" s="128"/>
      <c r="T120" s="126"/>
      <c r="U120" s="133"/>
      <c r="V120" s="598"/>
      <c r="W120" s="226"/>
      <c r="X120" s="128"/>
      <c r="Y120" s="126"/>
      <c r="Z120" s="133"/>
      <c r="AA120" s="598"/>
      <c r="AB120" s="226"/>
      <c r="AC120" s="128"/>
      <c r="AD120" s="126"/>
      <c r="AE120" s="133"/>
      <c r="AF120" s="617"/>
      <c r="AG120" s="95"/>
      <c r="AH120" s="95"/>
      <c r="AI120" s="57"/>
      <c r="AJ120" s="104"/>
      <c r="AK120" s="91"/>
      <c r="AL120"/>
      <c r="AM120"/>
      <c r="AN120"/>
      <c r="AO120"/>
      <c r="AP120"/>
      <c r="AQ120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1:86" s="1" customFormat="1" ht="18" hidden="1" customHeight="1">
      <c r="A121" s="515"/>
      <c r="B121" s="644"/>
      <c r="C121" s="194"/>
      <c r="D121" s="195"/>
      <c r="E121" s="196"/>
      <c r="F121" s="197"/>
      <c r="G121" s="598"/>
      <c r="H121" s="226"/>
      <c r="I121" s="128"/>
      <c r="J121" s="126"/>
      <c r="K121" s="133"/>
      <c r="L121" s="598"/>
      <c r="M121" s="226"/>
      <c r="N121" s="128"/>
      <c r="O121" s="126"/>
      <c r="P121" s="133"/>
      <c r="Q121" s="598"/>
      <c r="R121" s="226"/>
      <c r="S121" s="128"/>
      <c r="T121" s="126"/>
      <c r="U121" s="133"/>
      <c r="V121" s="598"/>
      <c r="W121" s="226"/>
      <c r="X121" s="128"/>
      <c r="Y121" s="126"/>
      <c r="Z121" s="133"/>
      <c r="AA121" s="598"/>
      <c r="AB121" s="226"/>
      <c r="AC121" s="128"/>
      <c r="AD121" s="126"/>
      <c r="AE121" s="133"/>
      <c r="AF121" s="617"/>
      <c r="AG121" s="95"/>
      <c r="AH121" s="95"/>
      <c r="AI121" s="57"/>
      <c r="AJ121" s="104"/>
      <c r="AK121" s="91"/>
      <c r="AL121"/>
      <c r="AM121"/>
      <c r="AN121"/>
      <c r="AO121"/>
      <c r="AP121"/>
      <c r="AQ121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1:86" s="1" customFormat="1" ht="18" hidden="1" customHeight="1">
      <c r="A122" s="515"/>
      <c r="B122" s="644"/>
      <c r="C122" s="194"/>
      <c r="D122" s="195"/>
      <c r="E122" s="196"/>
      <c r="F122" s="197"/>
      <c r="G122" s="598"/>
      <c r="H122" s="226"/>
      <c r="I122" s="128"/>
      <c r="J122" s="126"/>
      <c r="K122" s="133"/>
      <c r="L122" s="598"/>
      <c r="M122" s="226"/>
      <c r="N122" s="128"/>
      <c r="O122" s="126"/>
      <c r="P122" s="133"/>
      <c r="Q122" s="598"/>
      <c r="R122" s="226"/>
      <c r="S122" s="128"/>
      <c r="T122" s="126"/>
      <c r="U122" s="133"/>
      <c r="V122" s="598"/>
      <c r="W122" s="226"/>
      <c r="X122" s="128"/>
      <c r="Y122" s="126"/>
      <c r="Z122" s="133"/>
      <c r="AA122" s="598"/>
      <c r="AB122" s="226"/>
      <c r="AC122" s="128"/>
      <c r="AD122" s="126"/>
      <c r="AE122" s="133"/>
      <c r="AF122" s="617"/>
      <c r="AG122" s="95"/>
      <c r="AH122" s="95"/>
      <c r="AI122" s="57"/>
      <c r="AJ122" s="104"/>
      <c r="AK122" s="91"/>
      <c r="AL122"/>
      <c r="AM122"/>
      <c r="AN122"/>
      <c r="AO122"/>
      <c r="AP122"/>
      <c r="AQ122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1:86" s="1" customFormat="1" ht="18" hidden="1" customHeight="1">
      <c r="A123" s="593"/>
      <c r="B123" s="645"/>
      <c r="C123" s="201"/>
      <c r="D123" s="202"/>
      <c r="E123" s="203"/>
      <c r="F123" s="204"/>
      <c r="G123" s="599"/>
      <c r="H123" s="130"/>
      <c r="I123" s="132"/>
      <c r="J123" s="131"/>
      <c r="K123" s="134"/>
      <c r="L123" s="599"/>
      <c r="M123" s="130"/>
      <c r="N123" s="132"/>
      <c r="O123" s="131"/>
      <c r="P123" s="134"/>
      <c r="Q123" s="599"/>
      <c r="R123" s="130"/>
      <c r="S123" s="132"/>
      <c r="T123" s="131"/>
      <c r="U123" s="134"/>
      <c r="V123" s="599"/>
      <c r="W123" s="130"/>
      <c r="X123" s="132"/>
      <c r="Y123" s="131"/>
      <c r="Z123" s="134"/>
      <c r="AA123" s="599"/>
      <c r="AB123" s="130"/>
      <c r="AC123" s="132"/>
      <c r="AD123" s="131"/>
      <c r="AE123" s="134"/>
      <c r="AF123" s="618"/>
      <c r="AG123" s="95"/>
      <c r="AH123" s="95"/>
      <c r="AI123" s="57"/>
      <c r="AJ123" s="106"/>
      <c r="AK123" s="91"/>
      <c r="AL123"/>
      <c r="AM123"/>
      <c r="AN123"/>
      <c r="AO123"/>
      <c r="AP123"/>
      <c r="AQ123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1:86" s="1" customFormat="1" ht="18" hidden="1" customHeight="1">
      <c r="A124" s="592" t="s">
        <v>54</v>
      </c>
      <c r="B124" s="643"/>
      <c r="C124" s="187"/>
      <c r="D124" s="188"/>
      <c r="E124" s="189"/>
      <c r="F124" s="190"/>
      <c r="G124" s="529"/>
      <c r="H124" s="95"/>
      <c r="I124" s="13"/>
      <c r="J124" s="57"/>
      <c r="K124" s="105"/>
      <c r="L124" s="529"/>
      <c r="M124" s="95"/>
      <c r="N124" s="13"/>
      <c r="O124" s="57"/>
      <c r="P124" s="104"/>
      <c r="Q124" s="529"/>
      <c r="R124" s="95"/>
      <c r="S124" s="95"/>
      <c r="T124" s="57"/>
      <c r="U124" s="105"/>
      <c r="V124" s="529"/>
      <c r="W124" s="95"/>
      <c r="X124" s="13"/>
      <c r="Y124" s="57"/>
      <c r="Z124" s="105"/>
      <c r="AA124" s="529"/>
      <c r="AB124" s="208"/>
      <c r="AC124" s="13"/>
      <c r="AD124" s="57"/>
      <c r="AE124" s="105"/>
      <c r="AF124" s="643"/>
      <c r="AG124" s="191"/>
      <c r="AH124" s="192"/>
      <c r="AI124" s="193"/>
      <c r="AJ124" s="190"/>
      <c r="AK124" s="91"/>
      <c r="AL124"/>
      <c r="AM124"/>
      <c r="AN124"/>
      <c r="AO124"/>
      <c r="AP124"/>
      <c r="AQ1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1:86" s="1" customFormat="1" ht="18" hidden="1" customHeight="1">
      <c r="A125" s="515"/>
      <c r="B125" s="644"/>
      <c r="C125" s="194"/>
      <c r="D125" s="195"/>
      <c r="E125" s="196"/>
      <c r="F125" s="197"/>
      <c r="G125" s="529"/>
      <c r="H125" s="95"/>
      <c r="I125" s="13"/>
      <c r="J125" s="57"/>
      <c r="K125" s="105"/>
      <c r="L125" s="529"/>
      <c r="M125" s="95"/>
      <c r="N125" s="13"/>
      <c r="O125" s="57"/>
      <c r="P125" s="104"/>
      <c r="Q125" s="529"/>
      <c r="R125" s="95"/>
      <c r="S125" s="95"/>
      <c r="T125" s="57"/>
      <c r="U125" s="105"/>
      <c r="V125" s="529"/>
      <c r="W125" s="95"/>
      <c r="X125" s="13"/>
      <c r="Y125" s="57"/>
      <c r="Z125" s="105"/>
      <c r="AA125" s="529"/>
      <c r="AB125" s="208"/>
      <c r="AC125" s="13"/>
      <c r="AD125" s="57"/>
      <c r="AE125" s="105"/>
      <c r="AF125" s="644"/>
      <c r="AG125" s="198"/>
      <c r="AH125" s="199"/>
      <c r="AI125" s="200"/>
      <c r="AJ125" s="197"/>
      <c r="AK125" s="91"/>
      <c r="AL125"/>
      <c r="AM125"/>
      <c r="AN125"/>
      <c r="AO125"/>
      <c r="AP125"/>
      <c r="AQ125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1:86" s="1" customFormat="1" ht="18" hidden="1" customHeight="1">
      <c r="A126" s="515"/>
      <c r="B126" s="644"/>
      <c r="C126" s="194"/>
      <c r="D126" s="195"/>
      <c r="E126" s="196"/>
      <c r="F126" s="197"/>
      <c r="G126" s="529"/>
      <c r="H126" s="95"/>
      <c r="I126" s="13"/>
      <c r="J126" s="57"/>
      <c r="K126" s="105"/>
      <c r="L126" s="529"/>
      <c r="M126" s="95"/>
      <c r="N126" s="13"/>
      <c r="O126" s="57"/>
      <c r="P126" s="104"/>
      <c r="Q126" s="529"/>
      <c r="R126" s="95"/>
      <c r="S126" s="95"/>
      <c r="T126" s="57"/>
      <c r="U126" s="105"/>
      <c r="V126" s="529"/>
      <c r="W126" s="95"/>
      <c r="X126" s="13"/>
      <c r="Y126" s="57"/>
      <c r="Z126" s="105"/>
      <c r="AA126" s="529"/>
      <c r="AB126" s="208"/>
      <c r="AC126" s="13"/>
      <c r="AD126" s="57"/>
      <c r="AE126" s="105"/>
      <c r="AF126" s="644"/>
      <c r="AG126" s="198"/>
      <c r="AH126" s="199"/>
      <c r="AI126" s="200"/>
      <c r="AJ126" s="197"/>
      <c r="AK126" s="91"/>
      <c r="AL126"/>
      <c r="AM126"/>
      <c r="AN126"/>
      <c r="AO126"/>
      <c r="AP126"/>
      <c r="AQ126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1:86" s="1" customFormat="1" ht="18" hidden="1" customHeight="1">
      <c r="A127" s="515"/>
      <c r="B127" s="644"/>
      <c r="C127" s="194"/>
      <c r="D127" s="195"/>
      <c r="E127" s="196"/>
      <c r="F127" s="197"/>
      <c r="G127" s="529"/>
      <c r="H127" s="95"/>
      <c r="I127" s="13"/>
      <c r="J127" s="57"/>
      <c r="K127" s="105"/>
      <c r="L127" s="529"/>
      <c r="M127" s="95"/>
      <c r="N127" s="13"/>
      <c r="O127" s="57"/>
      <c r="P127" s="104"/>
      <c r="Q127" s="529"/>
      <c r="R127" s="95"/>
      <c r="S127" s="95"/>
      <c r="T127" s="57"/>
      <c r="U127" s="105"/>
      <c r="V127" s="529"/>
      <c r="W127" s="95"/>
      <c r="X127" s="13"/>
      <c r="Y127" s="57"/>
      <c r="Z127" s="105"/>
      <c r="AA127" s="529"/>
      <c r="AB127" s="208"/>
      <c r="AC127" s="13"/>
      <c r="AD127" s="57"/>
      <c r="AE127" s="105"/>
      <c r="AF127" s="644"/>
      <c r="AG127" s="198"/>
      <c r="AH127" s="199"/>
      <c r="AI127" s="200"/>
      <c r="AJ127" s="197"/>
      <c r="AK127" s="91"/>
      <c r="AL127"/>
      <c r="AM127"/>
      <c r="AN127"/>
      <c r="AO127"/>
      <c r="AP127"/>
      <c r="AQ127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1:86" s="1" customFormat="1" ht="18" hidden="1" customHeight="1">
      <c r="A128" s="515"/>
      <c r="B128" s="644"/>
      <c r="C128" s="194"/>
      <c r="D128" s="195"/>
      <c r="E128" s="196"/>
      <c r="F128" s="197"/>
      <c r="G128" s="529"/>
      <c r="H128" s="95"/>
      <c r="I128" s="13"/>
      <c r="J128" s="57"/>
      <c r="K128" s="105"/>
      <c r="L128" s="529"/>
      <c r="M128" s="95"/>
      <c r="N128" s="13"/>
      <c r="O128" s="57"/>
      <c r="P128" s="104"/>
      <c r="Q128" s="529"/>
      <c r="R128" s="95"/>
      <c r="S128" s="95"/>
      <c r="T128" s="57"/>
      <c r="U128" s="105"/>
      <c r="V128" s="529"/>
      <c r="W128" s="95"/>
      <c r="X128" s="13"/>
      <c r="Y128" s="57"/>
      <c r="Z128" s="105"/>
      <c r="AA128" s="529"/>
      <c r="AB128" s="208"/>
      <c r="AC128" s="13"/>
      <c r="AD128" s="57"/>
      <c r="AE128" s="105"/>
      <c r="AF128" s="644"/>
      <c r="AG128" s="198"/>
      <c r="AH128" s="199"/>
      <c r="AI128" s="200"/>
      <c r="AJ128" s="197"/>
      <c r="AK128" s="91"/>
      <c r="AL128"/>
      <c r="AM128"/>
      <c r="AN128"/>
      <c r="AO128"/>
      <c r="AP128"/>
      <c r="AQ128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1:86" s="1" customFormat="1" ht="18" hidden="1" customHeight="1">
      <c r="A129" s="515"/>
      <c r="B129" s="644"/>
      <c r="C129" s="194"/>
      <c r="D129" s="195"/>
      <c r="E129" s="196"/>
      <c r="F129" s="197"/>
      <c r="G129" s="529"/>
      <c r="H129" s="95"/>
      <c r="I129" s="13"/>
      <c r="J129" s="57"/>
      <c r="K129" s="105"/>
      <c r="L129" s="529"/>
      <c r="M129" s="95"/>
      <c r="N129" s="13"/>
      <c r="O129" s="57"/>
      <c r="P129" s="104"/>
      <c r="Q129" s="529"/>
      <c r="R129" s="95"/>
      <c r="S129" s="95"/>
      <c r="T129" s="57"/>
      <c r="U129" s="105"/>
      <c r="V129" s="529"/>
      <c r="W129" s="95"/>
      <c r="X129" s="13"/>
      <c r="Y129" s="57"/>
      <c r="Z129" s="105"/>
      <c r="AA129" s="529"/>
      <c r="AB129" s="208"/>
      <c r="AC129" s="13"/>
      <c r="AD129" s="57"/>
      <c r="AE129" s="105"/>
      <c r="AF129" s="644"/>
      <c r="AG129" s="198"/>
      <c r="AH129" s="199"/>
      <c r="AI129" s="200"/>
      <c r="AJ129" s="197"/>
      <c r="AK129" s="91"/>
      <c r="AL129"/>
      <c r="AM129"/>
      <c r="AN129"/>
      <c r="AO129"/>
      <c r="AP129"/>
      <c r="AQ129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1:86" s="1" customFormat="1" ht="18" hidden="1" customHeight="1">
      <c r="A130" s="515"/>
      <c r="B130" s="644"/>
      <c r="C130" s="194"/>
      <c r="D130" s="195"/>
      <c r="E130" s="196"/>
      <c r="F130" s="197"/>
      <c r="G130" s="529"/>
      <c r="H130" s="95"/>
      <c r="I130" s="13"/>
      <c r="J130" s="57"/>
      <c r="K130" s="105"/>
      <c r="L130" s="529"/>
      <c r="M130" s="95"/>
      <c r="N130" s="13"/>
      <c r="O130" s="57"/>
      <c r="P130" s="104"/>
      <c r="Q130" s="529"/>
      <c r="R130" s="95"/>
      <c r="S130" s="95"/>
      <c r="T130" s="57"/>
      <c r="U130" s="105"/>
      <c r="V130" s="529"/>
      <c r="W130" s="95"/>
      <c r="X130" s="13"/>
      <c r="Y130" s="57"/>
      <c r="Z130" s="105"/>
      <c r="AA130" s="529"/>
      <c r="AB130" s="208"/>
      <c r="AC130" s="13"/>
      <c r="AD130" s="57"/>
      <c r="AE130" s="105"/>
      <c r="AF130" s="644"/>
      <c r="AG130" s="198"/>
      <c r="AH130" s="199"/>
      <c r="AI130" s="200"/>
      <c r="AJ130" s="197"/>
      <c r="AK130" s="91"/>
      <c r="AL130"/>
      <c r="AM130"/>
      <c r="AN130"/>
      <c r="AO130"/>
      <c r="AP130"/>
      <c r="AQ130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1:86" s="1" customFormat="1" ht="18" hidden="1" customHeight="1">
      <c r="A131" s="515"/>
      <c r="B131" s="644"/>
      <c r="C131" s="194"/>
      <c r="D131" s="195"/>
      <c r="E131" s="196"/>
      <c r="F131" s="197"/>
      <c r="G131" s="529"/>
      <c r="H131" s="95"/>
      <c r="I131" s="13"/>
      <c r="J131" s="57"/>
      <c r="K131" s="105"/>
      <c r="L131" s="529"/>
      <c r="M131" s="95"/>
      <c r="N131" s="13"/>
      <c r="O131" s="57"/>
      <c r="P131" s="104"/>
      <c r="Q131" s="529"/>
      <c r="R131" s="95"/>
      <c r="S131" s="95"/>
      <c r="T131" s="57"/>
      <c r="U131" s="105"/>
      <c r="V131" s="529"/>
      <c r="W131" s="95"/>
      <c r="X131" s="13"/>
      <c r="Y131" s="57"/>
      <c r="Z131" s="105"/>
      <c r="AA131" s="529"/>
      <c r="AB131" s="208"/>
      <c r="AC131" s="13"/>
      <c r="AD131" s="57"/>
      <c r="AE131" s="105"/>
      <c r="AF131" s="644"/>
      <c r="AG131" s="198"/>
      <c r="AH131" s="199"/>
      <c r="AI131" s="200"/>
      <c r="AJ131" s="197"/>
      <c r="AK131" s="91"/>
      <c r="AL131"/>
      <c r="AM131"/>
      <c r="AN131"/>
      <c r="AO131"/>
      <c r="AP131"/>
      <c r="AQ131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1:86" s="1" customFormat="1" ht="18" hidden="1" customHeight="1">
      <c r="A132" s="515"/>
      <c r="B132" s="644"/>
      <c r="C132" s="194"/>
      <c r="D132" s="195"/>
      <c r="E132" s="196"/>
      <c r="F132" s="197"/>
      <c r="G132" s="529"/>
      <c r="H132" s="95"/>
      <c r="I132" s="13"/>
      <c r="J132" s="57"/>
      <c r="K132" s="105"/>
      <c r="L132" s="529"/>
      <c r="M132" s="95"/>
      <c r="N132" s="13"/>
      <c r="O132" s="57"/>
      <c r="P132" s="104"/>
      <c r="Q132" s="529"/>
      <c r="R132" s="95"/>
      <c r="S132" s="95"/>
      <c r="T132" s="57"/>
      <c r="U132" s="105"/>
      <c r="V132" s="529"/>
      <c r="W132" s="95"/>
      <c r="X132" s="13"/>
      <c r="Y132" s="57"/>
      <c r="Z132" s="105"/>
      <c r="AA132" s="529"/>
      <c r="AB132" s="208"/>
      <c r="AC132" s="13"/>
      <c r="AD132" s="57"/>
      <c r="AE132" s="105"/>
      <c r="AF132" s="644"/>
      <c r="AG132" s="198"/>
      <c r="AH132" s="199"/>
      <c r="AI132" s="200"/>
      <c r="AJ132" s="197"/>
      <c r="AK132" s="91"/>
      <c r="AL132"/>
      <c r="AM132"/>
      <c r="AN132"/>
      <c r="AO132"/>
      <c r="AP132"/>
      <c r="AQ132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1:86" s="1" customFormat="1" ht="18" hidden="1" customHeight="1">
      <c r="A133" s="515"/>
      <c r="B133" s="644"/>
      <c r="C133" s="194"/>
      <c r="D133" s="195"/>
      <c r="E133" s="196"/>
      <c r="F133" s="197"/>
      <c r="G133" s="529"/>
      <c r="H133" s="95"/>
      <c r="I133" s="13"/>
      <c r="J133" s="57"/>
      <c r="K133" s="105"/>
      <c r="L133" s="529"/>
      <c r="M133" s="95"/>
      <c r="N133" s="13"/>
      <c r="O133" s="57"/>
      <c r="P133" s="104"/>
      <c r="Q133" s="529"/>
      <c r="R133" s="95"/>
      <c r="S133" s="95"/>
      <c r="T133" s="57"/>
      <c r="U133" s="105"/>
      <c r="V133" s="529"/>
      <c r="W133" s="95"/>
      <c r="X133" s="13"/>
      <c r="Y133" s="57"/>
      <c r="Z133" s="105"/>
      <c r="AA133" s="529"/>
      <c r="AB133" s="208"/>
      <c r="AC133" s="13"/>
      <c r="AD133" s="57"/>
      <c r="AE133" s="105"/>
      <c r="AF133" s="644"/>
      <c r="AG133" s="198"/>
      <c r="AH133" s="199"/>
      <c r="AI133" s="200"/>
      <c r="AJ133" s="197"/>
      <c r="AK133" s="91"/>
      <c r="AL133"/>
      <c r="AM133"/>
      <c r="AN133"/>
      <c r="AO133"/>
      <c r="AP133"/>
      <c r="AQ133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1:86" s="1" customFormat="1" ht="18" hidden="1" customHeight="1">
      <c r="A134" s="515"/>
      <c r="B134" s="644"/>
      <c r="C134" s="194"/>
      <c r="D134" s="195"/>
      <c r="E134" s="196"/>
      <c r="F134" s="197"/>
      <c r="G134" s="529"/>
      <c r="H134" s="95"/>
      <c r="I134" s="13"/>
      <c r="J134" s="57"/>
      <c r="K134" s="105"/>
      <c r="L134" s="529"/>
      <c r="M134" s="95"/>
      <c r="N134" s="13"/>
      <c r="O134" s="57"/>
      <c r="P134" s="104"/>
      <c r="Q134" s="529"/>
      <c r="R134" s="95"/>
      <c r="S134" s="95"/>
      <c r="T134" s="57"/>
      <c r="U134" s="105"/>
      <c r="V134" s="529"/>
      <c r="W134" s="95"/>
      <c r="X134" s="13"/>
      <c r="Y134" s="57"/>
      <c r="Z134" s="105"/>
      <c r="AA134" s="529"/>
      <c r="AB134" s="208"/>
      <c r="AC134" s="13"/>
      <c r="AD134" s="57"/>
      <c r="AE134" s="105"/>
      <c r="AF134" s="644"/>
      <c r="AG134" s="198"/>
      <c r="AH134" s="199"/>
      <c r="AI134" s="200"/>
      <c r="AJ134" s="197"/>
      <c r="AK134" s="91"/>
      <c r="AL134"/>
      <c r="AM134"/>
      <c r="AN134"/>
      <c r="AO134"/>
      <c r="AP134"/>
      <c r="AQ13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1:86" s="1" customFormat="1" ht="18" hidden="1" customHeight="1">
      <c r="A135" s="515"/>
      <c r="B135" s="644"/>
      <c r="C135" s="194"/>
      <c r="D135" s="195"/>
      <c r="E135" s="196"/>
      <c r="F135" s="197"/>
      <c r="G135" s="529"/>
      <c r="H135" s="95"/>
      <c r="I135" s="13"/>
      <c r="J135" s="57"/>
      <c r="K135" s="105"/>
      <c r="L135" s="529"/>
      <c r="M135" s="95"/>
      <c r="N135" s="13"/>
      <c r="O135" s="57"/>
      <c r="P135" s="104"/>
      <c r="Q135" s="529"/>
      <c r="R135" s="95"/>
      <c r="S135" s="95"/>
      <c r="T135" s="57"/>
      <c r="U135" s="105"/>
      <c r="V135" s="529"/>
      <c r="W135" s="95"/>
      <c r="X135" s="13"/>
      <c r="Y135" s="57"/>
      <c r="Z135" s="105"/>
      <c r="AA135" s="529"/>
      <c r="AB135" s="208"/>
      <c r="AC135" s="13"/>
      <c r="AD135" s="57"/>
      <c r="AE135" s="105"/>
      <c r="AF135" s="644"/>
      <c r="AG135" s="198"/>
      <c r="AH135" s="199"/>
      <c r="AI135" s="200"/>
      <c r="AJ135" s="197"/>
      <c r="AK135" s="91"/>
      <c r="AL135"/>
      <c r="AM135"/>
      <c r="AN135"/>
      <c r="AO135"/>
      <c r="AP135"/>
      <c r="AQ135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1:86" s="1" customFormat="1" ht="18" hidden="1" customHeight="1">
      <c r="A136" s="515"/>
      <c r="B136" s="644"/>
      <c r="C136" s="194"/>
      <c r="D136" s="195"/>
      <c r="E136" s="196"/>
      <c r="F136" s="197"/>
      <c r="G136" s="529"/>
      <c r="H136" s="95"/>
      <c r="I136" s="13"/>
      <c r="J136" s="57"/>
      <c r="K136" s="105"/>
      <c r="L136" s="529"/>
      <c r="M136" s="95"/>
      <c r="N136" s="13"/>
      <c r="O136" s="57"/>
      <c r="P136" s="104"/>
      <c r="Q136" s="529"/>
      <c r="R136" s="95"/>
      <c r="S136" s="95"/>
      <c r="T136" s="57"/>
      <c r="U136" s="105"/>
      <c r="V136" s="529"/>
      <c r="W136" s="95"/>
      <c r="X136" s="13"/>
      <c r="Y136" s="57"/>
      <c r="Z136" s="105"/>
      <c r="AA136" s="529"/>
      <c r="AB136" s="208"/>
      <c r="AC136" s="13"/>
      <c r="AD136" s="57"/>
      <c r="AE136" s="105"/>
      <c r="AF136" s="644"/>
      <c r="AG136" s="198"/>
      <c r="AH136" s="199"/>
      <c r="AI136" s="200"/>
      <c r="AJ136" s="197"/>
      <c r="AK136" s="91"/>
      <c r="AL136"/>
      <c r="AM136"/>
      <c r="AN136"/>
      <c r="AO136"/>
      <c r="AP136"/>
      <c r="AQ136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1:86" s="1" customFormat="1" ht="18" hidden="1" customHeight="1">
      <c r="A137" s="515"/>
      <c r="B137" s="644"/>
      <c r="C137" s="194"/>
      <c r="D137" s="195"/>
      <c r="E137" s="196"/>
      <c r="F137" s="197"/>
      <c r="G137" s="529"/>
      <c r="H137" s="95"/>
      <c r="I137" s="13"/>
      <c r="J137" s="57"/>
      <c r="K137" s="105"/>
      <c r="L137" s="529"/>
      <c r="M137" s="95"/>
      <c r="N137" s="13"/>
      <c r="O137" s="57"/>
      <c r="P137" s="104"/>
      <c r="Q137" s="529"/>
      <c r="R137" s="95"/>
      <c r="S137" s="95"/>
      <c r="T137" s="57"/>
      <c r="U137" s="105"/>
      <c r="V137" s="529"/>
      <c r="W137" s="95"/>
      <c r="X137" s="13"/>
      <c r="Y137" s="57"/>
      <c r="Z137" s="105"/>
      <c r="AA137" s="529"/>
      <c r="AB137" s="208"/>
      <c r="AC137" s="13"/>
      <c r="AD137" s="57"/>
      <c r="AE137" s="105"/>
      <c r="AF137" s="644"/>
      <c r="AG137" s="198"/>
      <c r="AH137" s="199"/>
      <c r="AI137" s="200"/>
      <c r="AJ137" s="197"/>
      <c r="AK137" s="91"/>
      <c r="AL137"/>
      <c r="AM137"/>
      <c r="AN137"/>
      <c r="AO137"/>
      <c r="AP137"/>
      <c r="AQ137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1:86" s="1" customFormat="1" ht="18" hidden="1" customHeight="1">
      <c r="A138" s="593"/>
      <c r="B138" s="645"/>
      <c r="C138" s="201"/>
      <c r="D138" s="202"/>
      <c r="E138" s="203"/>
      <c r="F138" s="204"/>
      <c r="G138" s="530"/>
      <c r="H138" s="95"/>
      <c r="I138" s="13"/>
      <c r="J138" s="57"/>
      <c r="K138" s="107"/>
      <c r="L138" s="530"/>
      <c r="M138" s="95"/>
      <c r="N138" s="13"/>
      <c r="O138" s="57"/>
      <c r="P138" s="106"/>
      <c r="Q138" s="530"/>
      <c r="R138" s="95"/>
      <c r="S138" s="95"/>
      <c r="T138" s="57"/>
      <c r="U138" s="107"/>
      <c r="V138" s="530"/>
      <c r="W138" s="95"/>
      <c r="X138" s="13"/>
      <c r="Y138" s="57"/>
      <c r="Z138" s="107"/>
      <c r="AA138" s="530"/>
      <c r="AB138" s="208"/>
      <c r="AC138" s="13"/>
      <c r="AD138" s="57"/>
      <c r="AE138" s="107"/>
      <c r="AF138" s="645"/>
      <c r="AG138" s="205"/>
      <c r="AH138" s="206"/>
      <c r="AI138" s="207"/>
      <c r="AJ138" s="204"/>
      <c r="AK138" s="91"/>
      <c r="AL138"/>
      <c r="AM138"/>
      <c r="AN138"/>
      <c r="AO138"/>
      <c r="AP138"/>
      <c r="AQ138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1:86" s="1" customFormat="1" ht="18" hidden="1" customHeight="1">
      <c r="A139" s="592" t="s">
        <v>55</v>
      </c>
      <c r="B139" s="643"/>
      <c r="C139" s="187"/>
      <c r="D139" s="188"/>
      <c r="E139" s="189"/>
      <c r="F139" s="190"/>
      <c r="G139" s="528"/>
      <c r="H139" s="95"/>
      <c r="I139" s="13"/>
      <c r="J139" s="57"/>
      <c r="K139" s="108"/>
      <c r="L139" s="528"/>
      <c r="M139" s="95"/>
      <c r="N139" s="13"/>
      <c r="O139" s="57"/>
      <c r="P139" s="110"/>
      <c r="Q139" s="528"/>
      <c r="R139" s="95"/>
      <c r="S139" s="95"/>
      <c r="T139" s="57"/>
      <c r="U139" s="108"/>
      <c r="V139" s="528"/>
      <c r="W139" s="95"/>
      <c r="X139" s="13"/>
      <c r="Y139" s="57"/>
      <c r="Z139" s="108"/>
      <c r="AA139" s="528"/>
      <c r="AB139" s="208"/>
      <c r="AC139" s="13"/>
      <c r="AD139" s="57"/>
      <c r="AE139" s="108"/>
      <c r="AF139" s="643"/>
      <c r="AG139" s="191"/>
      <c r="AH139" s="192"/>
      <c r="AI139" s="193"/>
      <c r="AJ139" s="190"/>
      <c r="AK139" s="91"/>
      <c r="AL139"/>
      <c r="AM139"/>
      <c r="AN139"/>
      <c r="AO139"/>
      <c r="AP139"/>
      <c r="AQ139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1:86" s="1" customFormat="1" ht="18" hidden="1" customHeight="1">
      <c r="A140" s="515"/>
      <c r="B140" s="644"/>
      <c r="C140" s="194"/>
      <c r="D140" s="195"/>
      <c r="E140" s="196"/>
      <c r="F140" s="197"/>
      <c r="G140" s="529"/>
      <c r="H140" s="95"/>
      <c r="I140" s="13"/>
      <c r="J140" s="57"/>
      <c r="K140" s="105"/>
      <c r="L140" s="529"/>
      <c r="M140" s="95"/>
      <c r="N140" s="13"/>
      <c r="O140" s="57"/>
      <c r="P140" s="104"/>
      <c r="Q140" s="529"/>
      <c r="R140" s="95"/>
      <c r="S140" s="95"/>
      <c r="T140" s="57"/>
      <c r="U140" s="105"/>
      <c r="V140" s="529"/>
      <c r="W140" s="95"/>
      <c r="X140" s="13"/>
      <c r="Y140" s="57"/>
      <c r="Z140" s="105"/>
      <c r="AA140" s="529"/>
      <c r="AB140" s="208"/>
      <c r="AC140" s="13"/>
      <c r="AD140" s="57"/>
      <c r="AE140" s="105"/>
      <c r="AF140" s="644"/>
      <c r="AG140" s="198"/>
      <c r="AH140" s="199"/>
      <c r="AI140" s="200"/>
      <c r="AJ140" s="197"/>
      <c r="AK140" s="91"/>
      <c r="AL140"/>
      <c r="AM140"/>
      <c r="AN140"/>
      <c r="AO140"/>
      <c r="AP140"/>
      <c r="AQ140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1:86" s="1" customFormat="1" ht="18" hidden="1" customHeight="1">
      <c r="A141" s="515"/>
      <c r="B141" s="644"/>
      <c r="C141" s="194"/>
      <c r="D141" s="195"/>
      <c r="E141" s="196"/>
      <c r="F141" s="197"/>
      <c r="G141" s="529"/>
      <c r="H141" s="95"/>
      <c r="I141" s="13"/>
      <c r="J141" s="57"/>
      <c r="K141" s="105"/>
      <c r="L141" s="529"/>
      <c r="M141" s="95"/>
      <c r="N141" s="13"/>
      <c r="O141" s="57"/>
      <c r="P141" s="104"/>
      <c r="Q141" s="529"/>
      <c r="R141" s="95"/>
      <c r="S141" s="95"/>
      <c r="T141" s="57"/>
      <c r="U141" s="105"/>
      <c r="V141" s="529"/>
      <c r="W141" s="95"/>
      <c r="X141" s="13"/>
      <c r="Y141" s="57"/>
      <c r="Z141" s="105"/>
      <c r="AA141" s="529"/>
      <c r="AB141" s="208"/>
      <c r="AC141" s="13"/>
      <c r="AD141" s="57"/>
      <c r="AE141" s="105"/>
      <c r="AF141" s="644"/>
      <c r="AG141" s="198"/>
      <c r="AH141" s="199"/>
      <c r="AI141" s="200"/>
      <c r="AJ141" s="197"/>
      <c r="AK141" s="91"/>
      <c r="AL141"/>
      <c r="AM141"/>
      <c r="AN141"/>
      <c r="AO141"/>
      <c r="AP141"/>
      <c r="AQ141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1:86" s="1" customFormat="1" ht="18" hidden="1" customHeight="1">
      <c r="A142" s="515"/>
      <c r="B142" s="644"/>
      <c r="C142" s="194"/>
      <c r="D142" s="195"/>
      <c r="E142" s="196"/>
      <c r="F142" s="197"/>
      <c r="G142" s="529"/>
      <c r="H142" s="95"/>
      <c r="I142" s="13"/>
      <c r="J142" s="57"/>
      <c r="K142" s="105"/>
      <c r="L142" s="529"/>
      <c r="M142" s="95"/>
      <c r="N142" s="13"/>
      <c r="O142" s="57"/>
      <c r="P142" s="104"/>
      <c r="Q142" s="529"/>
      <c r="R142" s="95"/>
      <c r="S142" s="95"/>
      <c r="T142" s="57"/>
      <c r="U142" s="105"/>
      <c r="V142" s="529"/>
      <c r="W142" s="95"/>
      <c r="X142" s="13"/>
      <c r="Y142" s="57"/>
      <c r="Z142" s="105"/>
      <c r="AA142" s="529"/>
      <c r="AB142" s="208"/>
      <c r="AC142" s="13"/>
      <c r="AD142" s="57"/>
      <c r="AE142" s="105"/>
      <c r="AF142" s="644"/>
      <c r="AG142" s="198"/>
      <c r="AH142" s="199"/>
      <c r="AI142" s="200"/>
      <c r="AJ142" s="197"/>
      <c r="AK142" s="91"/>
      <c r="AL142"/>
      <c r="AM142"/>
      <c r="AN142"/>
      <c r="AO142"/>
      <c r="AP142"/>
      <c r="AQ142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1:86" s="1" customFormat="1" ht="18" hidden="1" customHeight="1">
      <c r="A143" s="515"/>
      <c r="B143" s="644"/>
      <c r="C143" s="194"/>
      <c r="D143" s="195"/>
      <c r="E143" s="196"/>
      <c r="F143" s="197"/>
      <c r="G143" s="529"/>
      <c r="H143" s="95"/>
      <c r="I143" s="13"/>
      <c r="J143" s="57"/>
      <c r="K143" s="105"/>
      <c r="L143" s="529"/>
      <c r="M143" s="95"/>
      <c r="N143" s="13"/>
      <c r="O143" s="57"/>
      <c r="P143" s="104"/>
      <c r="Q143" s="529"/>
      <c r="R143" s="95"/>
      <c r="S143" s="95"/>
      <c r="T143" s="57"/>
      <c r="U143" s="105"/>
      <c r="V143" s="529"/>
      <c r="W143" s="95"/>
      <c r="X143" s="13"/>
      <c r="Y143" s="57"/>
      <c r="Z143" s="105"/>
      <c r="AA143" s="529"/>
      <c r="AB143" s="208"/>
      <c r="AC143" s="13"/>
      <c r="AD143" s="57"/>
      <c r="AE143" s="105"/>
      <c r="AF143" s="644"/>
      <c r="AG143" s="198"/>
      <c r="AH143" s="199"/>
      <c r="AI143" s="200"/>
      <c r="AJ143" s="197"/>
      <c r="AK143" s="91"/>
      <c r="AL143"/>
      <c r="AM143"/>
      <c r="AN143"/>
      <c r="AO143"/>
      <c r="AP143"/>
      <c r="AQ143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1:86" s="1" customFormat="1" ht="18" hidden="1" customHeight="1">
      <c r="A144" s="515"/>
      <c r="B144" s="644"/>
      <c r="C144" s="194"/>
      <c r="D144" s="195"/>
      <c r="E144" s="196"/>
      <c r="F144" s="197"/>
      <c r="G144" s="529"/>
      <c r="H144" s="95"/>
      <c r="I144" s="13"/>
      <c r="J144" s="57"/>
      <c r="K144" s="105"/>
      <c r="L144" s="529"/>
      <c r="M144" s="95"/>
      <c r="N144" s="13"/>
      <c r="O144" s="57"/>
      <c r="P144" s="104"/>
      <c r="Q144" s="529"/>
      <c r="R144" s="95"/>
      <c r="S144" s="95"/>
      <c r="T144" s="57"/>
      <c r="U144" s="105"/>
      <c r="V144" s="529"/>
      <c r="W144" s="95"/>
      <c r="X144" s="13"/>
      <c r="Y144" s="57"/>
      <c r="Z144" s="105"/>
      <c r="AA144" s="529"/>
      <c r="AB144" s="208"/>
      <c r="AC144" s="13"/>
      <c r="AD144" s="57"/>
      <c r="AE144" s="105"/>
      <c r="AF144" s="644"/>
      <c r="AG144" s="198"/>
      <c r="AH144" s="199"/>
      <c r="AI144" s="200"/>
      <c r="AJ144" s="197"/>
      <c r="AK144" s="91"/>
      <c r="AL144"/>
      <c r="AM144"/>
      <c r="AN144"/>
      <c r="AO144"/>
      <c r="AP144"/>
      <c r="AQ14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1:86" s="1" customFormat="1" ht="18" hidden="1" customHeight="1">
      <c r="A145" s="515"/>
      <c r="B145" s="644"/>
      <c r="C145" s="194"/>
      <c r="D145" s="195"/>
      <c r="E145" s="196"/>
      <c r="F145" s="197"/>
      <c r="G145" s="529"/>
      <c r="H145" s="95"/>
      <c r="I145" s="13"/>
      <c r="J145" s="57"/>
      <c r="K145" s="105"/>
      <c r="L145" s="529"/>
      <c r="M145" s="95"/>
      <c r="N145" s="13"/>
      <c r="O145" s="57"/>
      <c r="P145" s="104"/>
      <c r="Q145" s="529"/>
      <c r="R145" s="95"/>
      <c r="S145" s="95"/>
      <c r="T145" s="57"/>
      <c r="U145" s="105"/>
      <c r="V145" s="529"/>
      <c r="W145" s="95"/>
      <c r="X145" s="13"/>
      <c r="Y145" s="57"/>
      <c r="Z145" s="105"/>
      <c r="AA145" s="529"/>
      <c r="AB145" s="208"/>
      <c r="AC145" s="13"/>
      <c r="AD145" s="57"/>
      <c r="AE145" s="105"/>
      <c r="AF145" s="644"/>
      <c r="AG145" s="198"/>
      <c r="AH145" s="199"/>
      <c r="AI145" s="200"/>
      <c r="AJ145" s="197"/>
      <c r="AK145" s="91"/>
      <c r="AL145"/>
      <c r="AM145"/>
      <c r="AN145"/>
      <c r="AO145"/>
      <c r="AP145"/>
      <c r="AQ145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1:86" s="1" customFormat="1" ht="18" hidden="1" customHeight="1">
      <c r="A146" s="515"/>
      <c r="B146" s="644"/>
      <c r="C146" s="194"/>
      <c r="D146" s="195"/>
      <c r="E146" s="196"/>
      <c r="F146" s="197"/>
      <c r="G146" s="529"/>
      <c r="H146" s="95"/>
      <c r="I146" s="13"/>
      <c r="J146" s="57"/>
      <c r="K146" s="105"/>
      <c r="L146" s="529"/>
      <c r="M146" s="95"/>
      <c r="N146" s="13"/>
      <c r="O146" s="57"/>
      <c r="P146" s="104"/>
      <c r="Q146" s="529"/>
      <c r="R146" s="95"/>
      <c r="S146" s="95"/>
      <c r="T146" s="57"/>
      <c r="U146" s="105"/>
      <c r="V146" s="529"/>
      <c r="W146" s="95"/>
      <c r="X146" s="13"/>
      <c r="Y146" s="57"/>
      <c r="Z146" s="105"/>
      <c r="AA146" s="529"/>
      <c r="AB146" s="208"/>
      <c r="AC146" s="13"/>
      <c r="AD146" s="57"/>
      <c r="AE146" s="105"/>
      <c r="AF146" s="644"/>
      <c r="AG146" s="198"/>
      <c r="AH146" s="199"/>
      <c r="AI146" s="200"/>
      <c r="AJ146" s="197"/>
      <c r="AK146" s="91"/>
      <c r="AL146"/>
      <c r="AM146"/>
      <c r="AN146"/>
      <c r="AO146"/>
      <c r="AP146"/>
      <c r="AQ146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1:86" s="1" customFormat="1" ht="18" hidden="1" customHeight="1">
      <c r="A147" s="515"/>
      <c r="B147" s="644"/>
      <c r="C147" s="194"/>
      <c r="D147" s="195"/>
      <c r="E147" s="196"/>
      <c r="F147" s="197"/>
      <c r="G147" s="529"/>
      <c r="H147" s="95"/>
      <c r="I147" s="13"/>
      <c r="J147" s="57"/>
      <c r="K147" s="105"/>
      <c r="L147" s="529"/>
      <c r="M147" s="95"/>
      <c r="N147" s="13"/>
      <c r="O147" s="57"/>
      <c r="P147" s="104"/>
      <c r="Q147" s="529"/>
      <c r="R147" s="95"/>
      <c r="S147" s="95"/>
      <c r="T147" s="57"/>
      <c r="U147" s="105"/>
      <c r="V147" s="529"/>
      <c r="W147" s="95"/>
      <c r="X147" s="13"/>
      <c r="Y147" s="57"/>
      <c r="Z147" s="105"/>
      <c r="AA147" s="529"/>
      <c r="AB147" s="208"/>
      <c r="AC147" s="13"/>
      <c r="AD147" s="57"/>
      <c r="AE147" s="105"/>
      <c r="AF147" s="644"/>
      <c r="AG147" s="198"/>
      <c r="AH147" s="199"/>
      <c r="AI147" s="200"/>
      <c r="AJ147" s="197"/>
      <c r="AK147" s="91"/>
      <c r="AL147"/>
      <c r="AM147"/>
      <c r="AN147"/>
      <c r="AO147"/>
      <c r="AP147"/>
      <c r="AQ147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1:86" s="1" customFormat="1" ht="18" hidden="1" customHeight="1">
      <c r="A148" s="515"/>
      <c r="B148" s="644"/>
      <c r="C148" s="194"/>
      <c r="D148" s="195"/>
      <c r="E148" s="196"/>
      <c r="F148" s="197"/>
      <c r="G148" s="529"/>
      <c r="H148" s="95"/>
      <c r="I148" s="13"/>
      <c r="J148" s="57"/>
      <c r="K148" s="105"/>
      <c r="L148" s="529"/>
      <c r="M148" s="95"/>
      <c r="N148" s="13"/>
      <c r="O148" s="57"/>
      <c r="P148" s="104"/>
      <c r="Q148" s="529"/>
      <c r="R148" s="95"/>
      <c r="S148" s="95"/>
      <c r="T148" s="57"/>
      <c r="U148" s="105"/>
      <c r="V148" s="529"/>
      <c r="W148" s="95"/>
      <c r="X148" s="13"/>
      <c r="Y148" s="57"/>
      <c r="Z148" s="105"/>
      <c r="AA148" s="529"/>
      <c r="AB148" s="208"/>
      <c r="AC148" s="13"/>
      <c r="AD148" s="57"/>
      <c r="AE148" s="105"/>
      <c r="AF148" s="644"/>
      <c r="AG148" s="198"/>
      <c r="AH148" s="199"/>
      <c r="AI148" s="200"/>
      <c r="AJ148" s="197"/>
      <c r="AK148" s="91"/>
      <c r="AL148"/>
      <c r="AM148"/>
      <c r="AN148"/>
      <c r="AO148"/>
      <c r="AP148"/>
      <c r="AQ148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1:86" s="1" customFormat="1" ht="18" hidden="1" customHeight="1">
      <c r="A149" s="515"/>
      <c r="B149" s="644"/>
      <c r="C149" s="194"/>
      <c r="D149" s="195"/>
      <c r="E149" s="196"/>
      <c r="F149" s="197"/>
      <c r="G149" s="529"/>
      <c r="H149" s="95"/>
      <c r="I149" s="13"/>
      <c r="J149" s="57"/>
      <c r="K149" s="105"/>
      <c r="L149" s="529"/>
      <c r="M149" s="95"/>
      <c r="N149" s="13"/>
      <c r="O149" s="57"/>
      <c r="P149" s="104"/>
      <c r="Q149" s="529"/>
      <c r="R149" s="95"/>
      <c r="S149" s="95"/>
      <c r="T149" s="57"/>
      <c r="U149" s="105"/>
      <c r="V149" s="529"/>
      <c r="W149" s="95"/>
      <c r="X149" s="13"/>
      <c r="Y149" s="57"/>
      <c r="Z149" s="105"/>
      <c r="AA149" s="529"/>
      <c r="AB149" s="208"/>
      <c r="AC149" s="13"/>
      <c r="AD149" s="57"/>
      <c r="AE149" s="105"/>
      <c r="AF149" s="644"/>
      <c r="AG149" s="198"/>
      <c r="AH149" s="199"/>
      <c r="AI149" s="200"/>
      <c r="AJ149" s="197"/>
      <c r="AK149" s="91"/>
      <c r="AL149"/>
      <c r="AM149"/>
      <c r="AN149"/>
      <c r="AO149"/>
      <c r="AP149"/>
      <c r="AQ149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1:86" s="1" customFormat="1" ht="18" hidden="1" customHeight="1">
      <c r="A150" s="515"/>
      <c r="B150" s="644"/>
      <c r="C150" s="194"/>
      <c r="D150" s="195"/>
      <c r="E150" s="196"/>
      <c r="F150" s="197"/>
      <c r="G150" s="529"/>
      <c r="H150" s="95"/>
      <c r="I150" s="13"/>
      <c r="J150" s="57"/>
      <c r="K150" s="105"/>
      <c r="L150" s="529"/>
      <c r="M150" s="95"/>
      <c r="N150" s="13"/>
      <c r="O150" s="57"/>
      <c r="P150" s="104"/>
      <c r="Q150" s="529"/>
      <c r="R150" s="95"/>
      <c r="S150" s="95"/>
      <c r="T150" s="57"/>
      <c r="U150" s="105"/>
      <c r="V150" s="529"/>
      <c r="W150" s="95"/>
      <c r="X150" s="13"/>
      <c r="Y150" s="57"/>
      <c r="Z150" s="105"/>
      <c r="AA150" s="529"/>
      <c r="AB150" s="208"/>
      <c r="AC150" s="13"/>
      <c r="AD150" s="57"/>
      <c r="AE150" s="105"/>
      <c r="AF150" s="644"/>
      <c r="AG150" s="198"/>
      <c r="AH150" s="199"/>
      <c r="AI150" s="200"/>
      <c r="AJ150" s="197"/>
      <c r="AK150" s="91"/>
      <c r="AL150"/>
      <c r="AM150"/>
      <c r="AN150"/>
      <c r="AO150"/>
      <c r="AP150"/>
      <c r="AQ150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1:86" s="1" customFormat="1" ht="18" hidden="1" customHeight="1">
      <c r="A151" s="515"/>
      <c r="B151" s="644"/>
      <c r="C151" s="194"/>
      <c r="D151" s="195"/>
      <c r="E151" s="196"/>
      <c r="F151" s="197"/>
      <c r="G151" s="529"/>
      <c r="H151" s="95"/>
      <c r="I151" s="13"/>
      <c r="J151" s="57"/>
      <c r="K151" s="105"/>
      <c r="L151" s="529"/>
      <c r="M151" s="95"/>
      <c r="N151" s="13"/>
      <c r="O151" s="57"/>
      <c r="P151" s="104"/>
      <c r="Q151" s="529"/>
      <c r="R151" s="95"/>
      <c r="S151" s="95"/>
      <c r="T151" s="57"/>
      <c r="U151" s="105"/>
      <c r="V151" s="529"/>
      <c r="W151" s="95"/>
      <c r="X151" s="13"/>
      <c r="Y151" s="57"/>
      <c r="Z151" s="105"/>
      <c r="AA151" s="529"/>
      <c r="AB151" s="208"/>
      <c r="AC151" s="13"/>
      <c r="AD151" s="57"/>
      <c r="AE151" s="105"/>
      <c r="AF151" s="644"/>
      <c r="AG151" s="198"/>
      <c r="AH151" s="199"/>
      <c r="AI151" s="200"/>
      <c r="AJ151" s="197"/>
      <c r="AK151" s="91"/>
      <c r="AL151"/>
      <c r="AM151"/>
      <c r="AN151"/>
      <c r="AO151"/>
      <c r="AP151"/>
      <c r="AQ151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1:86" s="1" customFormat="1" ht="18" hidden="1" customHeight="1">
      <c r="A152" s="515"/>
      <c r="B152" s="644"/>
      <c r="C152" s="194"/>
      <c r="D152" s="195"/>
      <c r="E152" s="196"/>
      <c r="F152" s="197"/>
      <c r="G152" s="529"/>
      <c r="H152" s="95"/>
      <c r="I152" s="13"/>
      <c r="J152" s="57"/>
      <c r="K152" s="105"/>
      <c r="L152" s="529"/>
      <c r="M152" s="95"/>
      <c r="N152" s="13"/>
      <c r="O152" s="57"/>
      <c r="P152" s="104"/>
      <c r="Q152" s="529"/>
      <c r="R152" s="95"/>
      <c r="S152" s="95"/>
      <c r="T152" s="57"/>
      <c r="U152" s="105"/>
      <c r="V152" s="529"/>
      <c r="W152" s="95"/>
      <c r="X152" s="13"/>
      <c r="Y152" s="57"/>
      <c r="Z152" s="105"/>
      <c r="AA152" s="529"/>
      <c r="AB152" s="208"/>
      <c r="AC152" s="13"/>
      <c r="AD152" s="57"/>
      <c r="AE152" s="105"/>
      <c r="AF152" s="644"/>
      <c r="AG152" s="198"/>
      <c r="AH152" s="199"/>
      <c r="AI152" s="200"/>
      <c r="AJ152" s="197"/>
      <c r="AK152" s="91"/>
      <c r="AL152"/>
      <c r="AM152"/>
      <c r="AN152"/>
      <c r="AO152"/>
      <c r="AP152"/>
      <c r="AQ152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1:86" s="1" customFormat="1" ht="18" hidden="1" customHeight="1">
      <c r="A153" s="593"/>
      <c r="B153" s="645"/>
      <c r="C153" s="201"/>
      <c r="D153" s="202"/>
      <c r="E153" s="203"/>
      <c r="F153" s="204"/>
      <c r="G153" s="530"/>
      <c r="H153" s="95"/>
      <c r="I153" s="13"/>
      <c r="J153" s="57"/>
      <c r="K153" s="107"/>
      <c r="L153" s="530"/>
      <c r="M153" s="95"/>
      <c r="N153" s="13"/>
      <c r="O153" s="57"/>
      <c r="P153" s="106"/>
      <c r="Q153" s="530"/>
      <c r="R153" s="95"/>
      <c r="S153" s="95"/>
      <c r="T153" s="57"/>
      <c r="U153" s="107"/>
      <c r="V153" s="530"/>
      <c r="W153" s="95"/>
      <c r="X153" s="13"/>
      <c r="Y153" s="57"/>
      <c r="Z153" s="107"/>
      <c r="AA153" s="530"/>
      <c r="AB153" s="208"/>
      <c r="AC153" s="13"/>
      <c r="AD153" s="57"/>
      <c r="AE153" s="107"/>
      <c r="AF153" s="645"/>
      <c r="AG153" s="205"/>
      <c r="AH153" s="206"/>
      <c r="AI153" s="207"/>
      <c r="AJ153" s="204"/>
      <c r="AK153" s="91"/>
      <c r="AL153"/>
      <c r="AM153"/>
      <c r="AN153"/>
      <c r="AO153"/>
      <c r="AP153"/>
      <c r="AQ153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1:86" s="1" customFormat="1" ht="18" hidden="1" customHeight="1">
      <c r="A154" s="592" t="s">
        <v>56</v>
      </c>
      <c r="B154" s="643"/>
      <c r="C154" s="187"/>
      <c r="D154" s="188"/>
      <c r="E154" s="189"/>
      <c r="F154" s="190"/>
      <c r="G154" s="528"/>
      <c r="H154" s="95"/>
      <c r="I154" s="13"/>
      <c r="J154" s="57"/>
      <c r="K154" s="108"/>
      <c r="L154" s="528"/>
      <c r="M154" s="95"/>
      <c r="N154" s="13"/>
      <c r="O154" s="57"/>
      <c r="P154" s="110"/>
      <c r="Q154" s="528"/>
      <c r="R154" s="95"/>
      <c r="S154" s="95"/>
      <c r="T154" s="57"/>
      <c r="U154" s="108"/>
      <c r="V154" s="528"/>
      <c r="W154" s="95"/>
      <c r="X154" s="13"/>
      <c r="Y154" s="57"/>
      <c r="Z154" s="108"/>
      <c r="AA154" s="528"/>
      <c r="AB154" s="208"/>
      <c r="AC154" s="13"/>
      <c r="AD154" s="57"/>
      <c r="AE154" s="108"/>
      <c r="AF154" s="643"/>
      <c r="AG154" s="191"/>
      <c r="AH154" s="192"/>
      <c r="AI154" s="193"/>
      <c r="AJ154" s="190"/>
      <c r="AK154" s="91"/>
      <c r="AL154"/>
      <c r="AM154"/>
      <c r="AN154"/>
      <c r="AO154"/>
      <c r="AP154"/>
      <c r="AQ15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1:86" s="1" customFormat="1" ht="18" hidden="1" customHeight="1">
      <c r="A155" s="515"/>
      <c r="B155" s="644"/>
      <c r="C155" s="194"/>
      <c r="D155" s="195"/>
      <c r="E155" s="196"/>
      <c r="F155" s="197"/>
      <c r="G155" s="529"/>
      <c r="H155" s="95"/>
      <c r="I155" s="13"/>
      <c r="J155" s="57"/>
      <c r="K155" s="105"/>
      <c r="L155" s="529"/>
      <c r="M155" s="95"/>
      <c r="N155" s="13"/>
      <c r="O155" s="57"/>
      <c r="P155" s="104"/>
      <c r="Q155" s="529"/>
      <c r="R155" s="95"/>
      <c r="S155" s="95"/>
      <c r="T155" s="57"/>
      <c r="U155" s="105"/>
      <c r="V155" s="529"/>
      <c r="W155" s="95"/>
      <c r="X155" s="13"/>
      <c r="Y155" s="57"/>
      <c r="Z155" s="105"/>
      <c r="AA155" s="529"/>
      <c r="AB155" s="208"/>
      <c r="AC155" s="13"/>
      <c r="AD155" s="57"/>
      <c r="AE155" s="105"/>
      <c r="AF155" s="644"/>
      <c r="AG155" s="198"/>
      <c r="AH155" s="199"/>
      <c r="AI155" s="200"/>
      <c r="AJ155" s="197"/>
      <c r="AK155" s="91"/>
      <c r="AL155"/>
      <c r="AM155"/>
      <c r="AN155"/>
      <c r="AO155"/>
      <c r="AP155"/>
      <c r="AQ155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1:86" s="1" customFormat="1" ht="18" hidden="1" customHeight="1">
      <c r="A156" s="515"/>
      <c r="B156" s="644"/>
      <c r="C156" s="194"/>
      <c r="D156" s="195"/>
      <c r="E156" s="196"/>
      <c r="F156" s="197"/>
      <c r="G156" s="529"/>
      <c r="H156" s="95"/>
      <c r="I156" s="13"/>
      <c r="J156" s="57"/>
      <c r="K156" s="105"/>
      <c r="L156" s="529"/>
      <c r="M156" s="95"/>
      <c r="N156" s="13"/>
      <c r="O156" s="57"/>
      <c r="P156" s="104"/>
      <c r="Q156" s="529"/>
      <c r="R156" s="95"/>
      <c r="S156" s="95"/>
      <c r="T156" s="57"/>
      <c r="U156" s="105"/>
      <c r="V156" s="529"/>
      <c r="W156" s="95"/>
      <c r="X156" s="13"/>
      <c r="Y156" s="57"/>
      <c r="Z156" s="105"/>
      <c r="AA156" s="529"/>
      <c r="AB156" s="208"/>
      <c r="AC156" s="13"/>
      <c r="AD156" s="57"/>
      <c r="AE156" s="105"/>
      <c r="AF156" s="644"/>
      <c r="AG156" s="198"/>
      <c r="AH156" s="199"/>
      <c r="AI156" s="200"/>
      <c r="AJ156" s="197"/>
      <c r="AK156" s="91"/>
      <c r="AL156"/>
      <c r="AM156"/>
      <c r="AN156"/>
      <c r="AO156"/>
      <c r="AP156"/>
      <c r="AQ156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1:86" s="1" customFormat="1" ht="18" hidden="1" customHeight="1">
      <c r="A157" s="515"/>
      <c r="B157" s="644"/>
      <c r="C157" s="194"/>
      <c r="D157" s="195"/>
      <c r="E157" s="196"/>
      <c r="F157" s="197"/>
      <c r="G157" s="529"/>
      <c r="H157" s="95"/>
      <c r="I157" s="13"/>
      <c r="J157" s="57"/>
      <c r="K157" s="105"/>
      <c r="L157" s="529"/>
      <c r="M157" s="95"/>
      <c r="N157" s="13"/>
      <c r="O157" s="57"/>
      <c r="P157" s="104"/>
      <c r="Q157" s="529"/>
      <c r="R157" s="95"/>
      <c r="S157" s="95"/>
      <c r="T157" s="57"/>
      <c r="U157" s="105"/>
      <c r="V157" s="529"/>
      <c r="W157" s="95"/>
      <c r="X157" s="13"/>
      <c r="Y157" s="57"/>
      <c r="Z157" s="105"/>
      <c r="AA157" s="529"/>
      <c r="AB157" s="208"/>
      <c r="AC157" s="13"/>
      <c r="AD157" s="57"/>
      <c r="AE157" s="105"/>
      <c r="AF157" s="644"/>
      <c r="AG157" s="198"/>
      <c r="AH157" s="199"/>
      <c r="AI157" s="200"/>
      <c r="AJ157" s="197"/>
      <c r="AK157" s="91"/>
      <c r="AL157"/>
      <c r="AM157"/>
      <c r="AN157"/>
      <c r="AO157"/>
      <c r="AP157"/>
      <c r="AQ157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1:86" s="1" customFormat="1" ht="18" hidden="1" customHeight="1">
      <c r="A158" s="515"/>
      <c r="B158" s="644"/>
      <c r="C158" s="194"/>
      <c r="D158" s="195"/>
      <c r="E158" s="196"/>
      <c r="F158" s="197"/>
      <c r="G158" s="529"/>
      <c r="H158" s="95"/>
      <c r="I158" s="13"/>
      <c r="J158" s="57"/>
      <c r="K158" s="105"/>
      <c r="L158" s="529"/>
      <c r="M158" s="95"/>
      <c r="N158" s="13"/>
      <c r="O158" s="57"/>
      <c r="P158" s="104"/>
      <c r="Q158" s="529"/>
      <c r="R158" s="95"/>
      <c r="S158" s="95"/>
      <c r="T158" s="57"/>
      <c r="U158" s="105"/>
      <c r="V158" s="529"/>
      <c r="W158" s="95"/>
      <c r="X158" s="13"/>
      <c r="Y158" s="57"/>
      <c r="Z158" s="105"/>
      <c r="AA158" s="529"/>
      <c r="AB158" s="208"/>
      <c r="AC158" s="13"/>
      <c r="AD158" s="57"/>
      <c r="AE158" s="105"/>
      <c r="AF158" s="644"/>
      <c r="AG158" s="198"/>
      <c r="AH158" s="199"/>
      <c r="AI158" s="200"/>
      <c r="AJ158" s="197"/>
      <c r="AK158" s="91"/>
      <c r="AL158"/>
      <c r="AM158"/>
      <c r="AN158"/>
      <c r="AO158"/>
      <c r="AP158"/>
      <c r="AQ158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1:86" s="1" customFormat="1" ht="18" hidden="1" customHeight="1">
      <c r="A159" s="515"/>
      <c r="B159" s="644"/>
      <c r="C159" s="194"/>
      <c r="D159" s="195"/>
      <c r="E159" s="196"/>
      <c r="F159" s="197"/>
      <c r="G159" s="529"/>
      <c r="H159" s="95"/>
      <c r="I159" s="13"/>
      <c r="J159" s="57"/>
      <c r="K159" s="105"/>
      <c r="L159" s="529"/>
      <c r="M159" s="95"/>
      <c r="N159" s="13"/>
      <c r="O159" s="57"/>
      <c r="P159" s="104"/>
      <c r="Q159" s="529"/>
      <c r="R159" s="95"/>
      <c r="S159" s="95"/>
      <c r="T159" s="57"/>
      <c r="U159" s="105"/>
      <c r="V159" s="529"/>
      <c r="W159" s="95"/>
      <c r="X159" s="13"/>
      <c r="Y159" s="57"/>
      <c r="Z159" s="105"/>
      <c r="AA159" s="529"/>
      <c r="AB159" s="208"/>
      <c r="AC159" s="13"/>
      <c r="AD159" s="57"/>
      <c r="AE159" s="105"/>
      <c r="AF159" s="644"/>
      <c r="AG159" s="198"/>
      <c r="AH159" s="199"/>
      <c r="AI159" s="200"/>
      <c r="AJ159" s="197"/>
      <c r="AK159" s="91"/>
      <c r="AL159"/>
      <c r="AM159"/>
      <c r="AN159"/>
      <c r="AO159"/>
      <c r="AP159"/>
      <c r="AQ159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1:86" s="1" customFormat="1" ht="18" hidden="1" customHeight="1">
      <c r="A160" s="515"/>
      <c r="B160" s="644"/>
      <c r="C160" s="194"/>
      <c r="D160" s="195"/>
      <c r="E160" s="196"/>
      <c r="F160" s="197"/>
      <c r="G160" s="529"/>
      <c r="H160" s="95"/>
      <c r="I160" s="13"/>
      <c r="J160" s="57"/>
      <c r="K160" s="105"/>
      <c r="L160" s="529"/>
      <c r="M160" s="95"/>
      <c r="N160" s="13"/>
      <c r="O160" s="57"/>
      <c r="P160" s="104"/>
      <c r="Q160" s="529"/>
      <c r="R160" s="95"/>
      <c r="S160" s="95"/>
      <c r="T160" s="57"/>
      <c r="U160" s="105"/>
      <c r="V160" s="529"/>
      <c r="W160" s="95"/>
      <c r="X160" s="13"/>
      <c r="Y160" s="57"/>
      <c r="Z160" s="105"/>
      <c r="AA160" s="529"/>
      <c r="AB160" s="208"/>
      <c r="AC160" s="13"/>
      <c r="AD160" s="57"/>
      <c r="AE160" s="105"/>
      <c r="AF160" s="644"/>
      <c r="AG160" s="198"/>
      <c r="AH160" s="199"/>
      <c r="AI160" s="200"/>
      <c r="AJ160" s="197"/>
      <c r="AK160" s="91"/>
      <c r="AL160"/>
      <c r="AM160"/>
      <c r="AN160"/>
      <c r="AO160"/>
      <c r="AP160"/>
      <c r="AQ160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1:86" s="1" customFormat="1" ht="18" hidden="1" customHeight="1">
      <c r="A161" s="515"/>
      <c r="B161" s="644"/>
      <c r="C161" s="194"/>
      <c r="D161" s="195"/>
      <c r="E161" s="196"/>
      <c r="F161" s="197"/>
      <c r="G161" s="529"/>
      <c r="H161" s="95"/>
      <c r="I161" s="13"/>
      <c r="J161" s="57"/>
      <c r="K161" s="105"/>
      <c r="L161" s="529"/>
      <c r="M161" s="95"/>
      <c r="N161" s="13"/>
      <c r="O161" s="57"/>
      <c r="P161" s="104"/>
      <c r="Q161" s="529"/>
      <c r="R161" s="95"/>
      <c r="S161" s="95"/>
      <c r="T161" s="57"/>
      <c r="U161" s="105"/>
      <c r="V161" s="529"/>
      <c r="W161" s="95"/>
      <c r="X161" s="13"/>
      <c r="Y161" s="57"/>
      <c r="Z161" s="105"/>
      <c r="AA161" s="529"/>
      <c r="AB161" s="208"/>
      <c r="AC161" s="13"/>
      <c r="AD161" s="57"/>
      <c r="AE161" s="105"/>
      <c r="AF161" s="644"/>
      <c r="AG161" s="198"/>
      <c r="AH161" s="199"/>
      <c r="AI161" s="200"/>
      <c r="AJ161" s="197"/>
      <c r="AK161" s="91"/>
      <c r="AL161"/>
      <c r="AM161"/>
      <c r="AN161"/>
      <c r="AO161"/>
      <c r="AP161"/>
      <c r="AQ161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1:86" s="1" customFormat="1" ht="18" hidden="1" customHeight="1">
      <c r="A162" s="515"/>
      <c r="B162" s="644"/>
      <c r="C162" s="194"/>
      <c r="D162" s="195"/>
      <c r="E162" s="196"/>
      <c r="F162" s="197"/>
      <c r="G162" s="529"/>
      <c r="H162" s="95"/>
      <c r="I162" s="13"/>
      <c r="J162" s="57"/>
      <c r="K162" s="105"/>
      <c r="L162" s="529"/>
      <c r="M162" s="95"/>
      <c r="N162" s="13"/>
      <c r="O162" s="57"/>
      <c r="P162" s="104"/>
      <c r="Q162" s="529"/>
      <c r="R162" s="95"/>
      <c r="S162" s="95"/>
      <c r="T162" s="57"/>
      <c r="U162" s="105"/>
      <c r="V162" s="529"/>
      <c r="W162" s="95"/>
      <c r="X162" s="13"/>
      <c r="Y162" s="57"/>
      <c r="Z162" s="105"/>
      <c r="AA162" s="529"/>
      <c r="AB162" s="208"/>
      <c r="AC162" s="13"/>
      <c r="AD162" s="57"/>
      <c r="AE162" s="105"/>
      <c r="AF162" s="644"/>
      <c r="AG162" s="198"/>
      <c r="AH162" s="199"/>
      <c r="AI162" s="200"/>
      <c r="AJ162" s="197"/>
      <c r="AK162" s="91"/>
      <c r="AL162"/>
      <c r="AM162"/>
      <c r="AN162"/>
      <c r="AO162"/>
      <c r="AP162"/>
      <c r="AQ162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1:86" s="1" customFormat="1" ht="18" hidden="1" customHeight="1">
      <c r="A163" s="515"/>
      <c r="B163" s="644"/>
      <c r="C163" s="194"/>
      <c r="D163" s="195"/>
      <c r="E163" s="196"/>
      <c r="F163" s="197"/>
      <c r="G163" s="529"/>
      <c r="H163" s="95"/>
      <c r="I163" s="13"/>
      <c r="J163" s="57"/>
      <c r="K163" s="105"/>
      <c r="L163" s="529"/>
      <c r="M163" s="95"/>
      <c r="N163" s="13"/>
      <c r="O163" s="57"/>
      <c r="P163" s="104"/>
      <c r="Q163" s="529"/>
      <c r="R163" s="95"/>
      <c r="S163" s="95"/>
      <c r="T163" s="57"/>
      <c r="U163" s="105"/>
      <c r="V163" s="529"/>
      <c r="W163" s="95"/>
      <c r="X163" s="13"/>
      <c r="Y163" s="57"/>
      <c r="Z163" s="105"/>
      <c r="AA163" s="529"/>
      <c r="AB163" s="208"/>
      <c r="AC163" s="13"/>
      <c r="AD163" s="57"/>
      <c r="AE163" s="105"/>
      <c r="AF163" s="644"/>
      <c r="AG163" s="198"/>
      <c r="AH163" s="199"/>
      <c r="AI163" s="200"/>
      <c r="AJ163" s="197"/>
      <c r="AK163" s="91"/>
      <c r="AL163"/>
      <c r="AM163"/>
      <c r="AN163"/>
      <c r="AO163"/>
      <c r="AP163"/>
      <c r="AQ163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1:86" s="1" customFormat="1" ht="18" hidden="1" customHeight="1">
      <c r="A164" s="515"/>
      <c r="B164" s="644"/>
      <c r="C164" s="194"/>
      <c r="D164" s="195"/>
      <c r="E164" s="196"/>
      <c r="F164" s="197"/>
      <c r="G164" s="529"/>
      <c r="H164" s="95"/>
      <c r="I164" s="13"/>
      <c r="J164" s="57"/>
      <c r="K164" s="105"/>
      <c r="L164" s="529"/>
      <c r="M164" s="95"/>
      <c r="N164" s="13"/>
      <c r="O164" s="57"/>
      <c r="P164" s="104"/>
      <c r="Q164" s="529"/>
      <c r="R164" s="95"/>
      <c r="S164" s="95"/>
      <c r="T164" s="57"/>
      <c r="U164" s="105"/>
      <c r="V164" s="529"/>
      <c r="W164" s="95"/>
      <c r="X164" s="13"/>
      <c r="Y164" s="57"/>
      <c r="Z164" s="105"/>
      <c r="AA164" s="529"/>
      <c r="AB164" s="208"/>
      <c r="AC164" s="13"/>
      <c r="AD164" s="57"/>
      <c r="AE164" s="105"/>
      <c r="AF164" s="644"/>
      <c r="AG164" s="198"/>
      <c r="AH164" s="199"/>
      <c r="AI164" s="200"/>
      <c r="AJ164" s="197"/>
      <c r="AK164" s="91"/>
      <c r="AL164"/>
      <c r="AM164"/>
      <c r="AN164"/>
      <c r="AO164"/>
      <c r="AP164"/>
      <c r="AQ16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1:86" s="1" customFormat="1" ht="18" hidden="1" customHeight="1">
      <c r="A165" s="515"/>
      <c r="B165" s="644"/>
      <c r="C165" s="194"/>
      <c r="D165" s="195"/>
      <c r="E165" s="196"/>
      <c r="F165" s="197"/>
      <c r="G165" s="529"/>
      <c r="H165" s="95"/>
      <c r="I165" s="13"/>
      <c r="J165" s="57"/>
      <c r="K165" s="105"/>
      <c r="L165" s="529"/>
      <c r="M165" s="95"/>
      <c r="N165" s="13"/>
      <c r="O165" s="57"/>
      <c r="P165" s="104"/>
      <c r="Q165" s="529"/>
      <c r="R165" s="95"/>
      <c r="S165" s="95"/>
      <c r="T165" s="57"/>
      <c r="U165" s="105"/>
      <c r="V165" s="529"/>
      <c r="W165" s="95"/>
      <c r="X165" s="13"/>
      <c r="Y165" s="57"/>
      <c r="Z165" s="105"/>
      <c r="AA165" s="529"/>
      <c r="AB165" s="208"/>
      <c r="AC165" s="13"/>
      <c r="AD165" s="57"/>
      <c r="AE165" s="105"/>
      <c r="AF165" s="644"/>
      <c r="AG165" s="198"/>
      <c r="AH165" s="199"/>
      <c r="AI165" s="200"/>
      <c r="AJ165" s="197"/>
      <c r="AK165" s="91"/>
      <c r="AL165"/>
      <c r="AM165"/>
      <c r="AN165"/>
      <c r="AO165"/>
      <c r="AP165"/>
      <c r="AQ165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1:86" s="1" customFormat="1" ht="18" hidden="1" customHeight="1">
      <c r="A166" s="515"/>
      <c r="B166" s="644"/>
      <c r="C166" s="194"/>
      <c r="D166" s="195"/>
      <c r="E166" s="196"/>
      <c r="F166" s="197"/>
      <c r="G166" s="529"/>
      <c r="H166" s="95"/>
      <c r="I166" s="13"/>
      <c r="J166" s="57"/>
      <c r="K166" s="105"/>
      <c r="L166" s="529"/>
      <c r="M166" s="95"/>
      <c r="N166" s="13"/>
      <c r="O166" s="57"/>
      <c r="P166" s="104"/>
      <c r="Q166" s="529"/>
      <c r="R166" s="95"/>
      <c r="S166" s="95"/>
      <c r="T166" s="57"/>
      <c r="U166" s="105"/>
      <c r="V166" s="529"/>
      <c r="W166" s="95"/>
      <c r="X166" s="13"/>
      <c r="Y166" s="57"/>
      <c r="Z166" s="105"/>
      <c r="AA166" s="529"/>
      <c r="AB166" s="208"/>
      <c r="AC166" s="13"/>
      <c r="AD166" s="57"/>
      <c r="AE166" s="105"/>
      <c r="AF166" s="644"/>
      <c r="AG166" s="198"/>
      <c r="AH166" s="199"/>
      <c r="AI166" s="200"/>
      <c r="AJ166" s="197"/>
      <c r="AK166" s="91"/>
      <c r="AL166"/>
      <c r="AM166"/>
      <c r="AN166"/>
      <c r="AO166"/>
      <c r="AP166"/>
      <c r="AQ166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1:86" s="1" customFormat="1" ht="18" hidden="1" customHeight="1">
      <c r="A167" s="515"/>
      <c r="B167" s="644"/>
      <c r="C167" s="194"/>
      <c r="D167" s="195"/>
      <c r="E167" s="196"/>
      <c r="F167" s="197"/>
      <c r="G167" s="529"/>
      <c r="H167" s="95"/>
      <c r="I167" s="13"/>
      <c r="J167" s="57"/>
      <c r="K167" s="105"/>
      <c r="L167" s="529"/>
      <c r="M167" s="95"/>
      <c r="N167" s="13"/>
      <c r="O167" s="57"/>
      <c r="P167" s="104"/>
      <c r="Q167" s="529"/>
      <c r="R167" s="95"/>
      <c r="S167" s="95"/>
      <c r="T167" s="57"/>
      <c r="U167" s="105"/>
      <c r="V167" s="529"/>
      <c r="W167" s="95"/>
      <c r="X167" s="13"/>
      <c r="Y167" s="57"/>
      <c r="Z167" s="105"/>
      <c r="AA167" s="529"/>
      <c r="AB167" s="208"/>
      <c r="AC167" s="13"/>
      <c r="AD167" s="57"/>
      <c r="AE167" s="105"/>
      <c r="AF167" s="644"/>
      <c r="AG167" s="198"/>
      <c r="AH167" s="199"/>
      <c r="AI167" s="200"/>
      <c r="AJ167" s="197"/>
      <c r="AK167" s="91"/>
      <c r="AL167"/>
      <c r="AM167"/>
      <c r="AN167"/>
      <c r="AO167"/>
      <c r="AP167"/>
      <c r="AQ167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1:86" s="1" customFormat="1" ht="18" hidden="1" customHeight="1">
      <c r="A168" s="593"/>
      <c r="B168" s="645"/>
      <c r="C168" s="201"/>
      <c r="D168" s="202"/>
      <c r="E168" s="203"/>
      <c r="F168" s="204"/>
      <c r="G168" s="530"/>
      <c r="H168" s="95"/>
      <c r="I168" s="13"/>
      <c r="J168" s="57"/>
      <c r="K168" s="107"/>
      <c r="L168" s="530"/>
      <c r="M168" s="95"/>
      <c r="N168" s="13"/>
      <c r="O168" s="57"/>
      <c r="P168" s="106"/>
      <c r="Q168" s="530"/>
      <c r="R168" s="95"/>
      <c r="S168" s="95"/>
      <c r="T168" s="57"/>
      <c r="U168" s="107"/>
      <c r="V168" s="530"/>
      <c r="W168" s="95"/>
      <c r="X168" s="13"/>
      <c r="Y168" s="57"/>
      <c r="Z168" s="107"/>
      <c r="AA168" s="530"/>
      <c r="AB168" s="208"/>
      <c r="AC168" s="13"/>
      <c r="AD168" s="57"/>
      <c r="AE168" s="107"/>
      <c r="AF168" s="645"/>
      <c r="AG168" s="205"/>
      <c r="AH168" s="206"/>
      <c r="AI168" s="207"/>
      <c r="AJ168" s="204"/>
      <c r="AK168" s="91"/>
      <c r="AL168"/>
      <c r="AM168"/>
      <c r="AN168"/>
      <c r="AO168"/>
      <c r="AP168"/>
      <c r="AQ168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1:86" s="1" customFormat="1" ht="18" hidden="1" customHeight="1">
      <c r="A169" s="592" t="s">
        <v>57</v>
      </c>
      <c r="B169" s="643"/>
      <c r="C169" s="187"/>
      <c r="D169" s="188"/>
      <c r="E169" s="189"/>
      <c r="F169" s="190"/>
      <c r="G169" s="528"/>
      <c r="H169" s="95"/>
      <c r="I169" s="13"/>
      <c r="J169" s="57"/>
      <c r="K169" s="108"/>
      <c r="L169" s="528"/>
      <c r="M169" s="95"/>
      <c r="N169" s="13"/>
      <c r="O169" s="57"/>
      <c r="P169" s="110"/>
      <c r="Q169" s="528"/>
      <c r="R169" s="95"/>
      <c r="S169" s="95"/>
      <c r="T169" s="57"/>
      <c r="U169" s="108"/>
      <c r="V169" s="528"/>
      <c r="W169" s="95"/>
      <c r="X169" s="13"/>
      <c r="Y169" s="57"/>
      <c r="Z169" s="108"/>
      <c r="AA169" s="528"/>
      <c r="AB169" s="208"/>
      <c r="AC169" s="13"/>
      <c r="AD169" s="57"/>
      <c r="AE169" s="108"/>
      <c r="AF169" s="643"/>
      <c r="AG169" s="191"/>
      <c r="AH169" s="192"/>
      <c r="AI169" s="193"/>
      <c r="AJ169" s="190"/>
      <c r="AK169" s="91"/>
      <c r="AL169"/>
      <c r="AM169"/>
      <c r="AN169"/>
      <c r="AO169"/>
      <c r="AP169"/>
      <c r="AQ169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1:86" s="1" customFormat="1" ht="18" hidden="1" customHeight="1">
      <c r="A170" s="515"/>
      <c r="B170" s="644"/>
      <c r="C170" s="194"/>
      <c r="D170" s="195"/>
      <c r="E170" s="196"/>
      <c r="F170" s="197"/>
      <c r="G170" s="529"/>
      <c r="H170" s="95"/>
      <c r="I170" s="13"/>
      <c r="J170" s="57"/>
      <c r="K170" s="105"/>
      <c r="L170" s="529"/>
      <c r="M170" s="95"/>
      <c r="N170" s="13"/>
      <c r="O170" s="57"/>
      <c r="P170" s="104"/>
      <c r="Q170" s="529"/>
      <c r="R170" s="95"/>
      <c r="S170" s="95"/>
      <c r="T170" s="57"/>
      <c r="U170" s="105"/>
      <c r="V170" s="529"/>
      <c r="W170" s="95"/>
      <c r="X170" s="13"/>
      <c r="Y170" s="57"/>
      <c r="Z170" s="105"/>
      <c r="AA170" s="529"/>
      <c r="AB170" s="208"/>
      <c r="AC170" s="13"/>
      <c r="AD170" s="57"/>
      <c r="AE170" s="105"/>
      <c r="AF170" s="644"/>
      <c r="AG170" s="198"/>
      <c r="AH170" s="199"/>
      <c r="AI170" s="200"/>
      <c r="AJ170" s="197"/>
      <c r="AK170" s="91"/>
      <c r="AL170"/>
      <c r="AM170"/>
      <c r="AN170"/>
      <c r="AO170"/>
      <c r="AP170"/>
      <c r="AQ170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4"/>
      <c r="BZ170" s="224"/>
      <c r="CA170" s="224"/>
      <c r="CB170" s="224"/>
      <c r="CC170" s="224"/>
      <c r="CD170" s="224"/>
      <c r="CE170" s="224"/>
      <c r="CF170" s="224"/>
      <c r="CG170" s="224"/>
      <c r="CH170" s="224"/>
    </row>
    <row r="171" spans="1:86" s="1" customFormat="1" ht="18" hidden="1" customHeight="1">
      <c r="A171" s="515"/>
      <c r="B171" s="644"/>
      <c r="C171" s="194"/>
      <c r="D171" s="195"/>
      <c r="E171" s="196"/>
      <c r="F171" s="197"/>
      <c r="G171" s="529"/>
      <c r="H171" s="95"/>
      <c r="I171" s="13"/>
      <c r="J171" s="57"/>
      <c r="K171" s="105"/>
      <c r="L171" s="529"/>
      <c r="M171" s="95"/>
      <c r="N171" s="13"/>
      <c r="O171" s="57"/>
      <c r="P171" s="104"/>
      <c r="Q171" s="529"/>
      <c r="R171" s="95"/>
      <c r="S171" s="95"/>
      <c r="T171" s="57"/>
      <c r="U171" s="105"/>
      <c r="V171" s="529"/>
      <c r="W171" s="95"/>
      <c r="X171" s="13"/>
      <c r="Y171" s="57"/>
      <c r="Z171" s="105"/>
      <c r="AA171" s="529"/>
      <c r="AB171" s="208"/>
      <c r="AC171" s="13"/>
      <c r="AD171" s="57"/>
      <c r="AE171" s="105"/>
      <c r="AF171" s="644"/>
      <c r="AG171" s="198"/>
      <c r="AH171" s="199"/>
      <c r="AI171" s="200"/>
      <c r="AJ171" s="197"/>
      <c r="AK171" s="91"/>
      <c r="AL171"/>
      <c r="AM171"/>
      <c r="AN171"/>
      <c r="AO171"/>
      <c r="AP171"/>
      <c r="AQ171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  <c r="BP171" s="224"/>
      <c r="BQ171" s="224"/>
      <c r="BR171" s="224"/>
      <c r="BS171" s="224"/>
      <c r="BT171" s="224"/>
      <c r="BU171" s="224"/>
      <c r="BV171" s="224"/>
      <c r="BW171" s="224"/>
      <c r="BX171" s="224"/>
      <c r="BY171" s="224"/>
      <c r="BZ171" s="224"/>
      <c r="CA171" s="224"/>
      <c r="CB171" s="224"/>
      <c r="CC171" s="224"/>
      <c r="CD171" s="224"/>
      <c r="CE171" s="224"/>
      <c r="CF171" s="224"/>
      <c r="CG171" s="224"/>
      <c r="CH171" s="224"/>
    </row>
    <row r="172" spans="1:86" s="1" customFormat="1" ht="18" hidden="1" customHeight="1">
      <c r="A172" s="515"/>
      <c r="B172" s="644"/>
      <c r="C172" s="194"/>
      <c r="D172" s="195"/>
      <c r="E172" s="196"/>
      <c r="F172" s="197"/>
      <c r="G172" s="529"/>
      <c r="H172" s="95"/>
      <c r="I172" s="13"/>
      <c r="J172" s="57"/>
      <c r="K172" s="105"/>
      <c r="L172" s="529"/>
      <c r="M172" s="95"/>
      <c r="N172" s="13"/>
      <c r="O172" s="57"/>
      <c r="P172" s="104"/>
      <c r="Q172" s="529"/>
      <c r="R172" s="95"/>
      <c r="S172" s="95"/>
      <c r="T172" s="57"/>
      <c r="U172" s="105"/>
      <c r="V172" s="529"/>
      <c r="W172" s="95"/>
      <c r="X172" s="13"/>
      <c r="Y172" s="57"/>
      <c r="Z172" s="105"/>
      <c r="AA172" s="529"/>
      <c r="AB172" s="208"/>
      <c r="AC172" s="13"/>
      <c r="AD172" s="57"/>
      <c r="AE172" s="105"/>
      <c r="AF172" s="644"/>
      <c r="AG172" s="198"/>
      <c r="AH172" s="199"/>
      <c r="AI172" s="200"/>
      <c r="AJ172" s="197"/>
      <c r="AK172" s="91"/>
      <c r="AL172"/>
      <c r="AM172"/>
      <c r="AN172"/>
      <c r="AO172"/>
      <c r="AP172"/>
      <c r="AQ172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  <c r="BP172" s="224"/>
      <c r="BQ172" s="224"/>
      <c r="BR172" s="224"/>
      <c r="BS172" s="224"/>
      <c r="BT172" s="224"/>
      <c r="BU172" s="224"/>
      <c r="BV172" s="224"/>
      <c r="BW172" s="224"/>
      <c r="BX172" s="224"/>
      <c r="BY172" s="224"/>
      <c r="BZ172" s="224"/>
      <c r="CA172" s="224"/>
      <c r="CB172" s="224"/>
      <c r="CC172" s="224"/>
      <c r="CD172" s="224"/>
      <c r="CE172" s="224"/>
      <c r="CF172" s="224"/>
      <c r="CG172" s="224"/>
      <c r="CH172" s="224"/>
    </row>
    <row r="173" spans="1:86" s="1" customFormat="1" ht="18" hidden="1" customHeight="1">
      <c r="A173" s="515"/>
      <c r="B173" s="644"/>
      <c r="C173" s="194"/>
      <c r="D173" s="195"/>
      <c r="E173" s="196"/>
      <c r="F173" s="197"/>
      <c r="G173" s="529"/>
      <c r="H173" s="95"/>
      <c r="I173" s="13"/>
      <c r="J173" s="57"/>
      <c r="K173" s="105"/>
      <c r="L173" s="529"/>
      <c r="M173" s="95"/>
      <c r="N173" s="13"/>
      <c r="O173" s="57"/>
      <c r="P173" s="104"/>
      <c r="Q173" s="529"/>
      <c r="R173" s="95"/>
      <c r="S173" s="95"/>
      <c r="T173" s="57"/>
      <c r="U173" s="105"/>
      <c r="V173" s="529"/>
      <c r="W173" s="95"/>
      <c r="X173" s="13"/>
      <c r="Y173" s="57"/>
      <c r="Z173" s="105"/>
      <c r="AA173" s="529"/>
      <c r="AB173" s="208"/>
      <c r="AC173" s="13"/>
      <c r="AD173" s="57"/>
      <c r="AE173" s="105"/>
      <c r="AF173" s="644"/>
      <c r="AG173" s="198"/>
      <c r="AH173" s="199"/>
      <c r="AI173" s="200"/>
      <c r="AJ173" s="197"/>
      <c r="AK173" s="91"/>
      <c r="AL173"/>
      <c r="AM173"/>
      <c r="AN173"/>
      <c r="AO173"/>
      <c r="AP173"/>
      <c r="AQ173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4"/>
      <c r="BW173" s="224"/>
      <c r="BX173" s="224"/>
      <c r="BY173" s="224"/>
      <c r="BZ173" s="224"/>
      <c r="CA173" s="224"/>
      <c r="CB173" s="224"/>
      <c r="CC173" s="224"/>
      <c r="CD173" s="224"/>
      <c r="CE173" s="224"/>
      <c r="CF173" s="224"/>
      <c r="CG173" s="224"/>
      <c r="CH173" s="224"/>
    </row>
    <row r="174" spans="1:86" s="1" customFormat="1" ht="18" hidden="1" customHeight="1">
      <c r="A174" s="515"/>
      <c r="B174" s="644"/>
      <c r="C174" s="194"/>
      <c r="D174" s="195"/>
      <c r="E174" s="196"/>
      <c r="F174" s="197"/>
      <c r="G174" s="529"/>
      <c r="H174" s="95"/>
      <c r="I174" s="13"/>
      <c r="J174" s="57"/>
      <c r="K174" s="105"/>
      <c r="L174" s="529"/>
      <c r="M174" s="95"/>
      <c r="N174" s="13"/>
      <c r="O174" s="57"/>
      <c r="P174" s="104"/>
      <c r="Q174" s="529"/>
      <c r="R174" s="95"/>
      <c r="S174" s="95"/>
      <c r="T174" s="57"/>
      <c r="U174" s="105"/>
      <c r="V174" s="529"/>
      <c r="W174" s="95"/>
      <c r="X174" s="13"/>
      <c r="Y174" s="57"/>
      <c r="Z174" s="105"/>
      <c r="AA174" s="529"/>
      <c r="AB174" s="208"/>
      <c r="AC174" s="13"/>
      <c r="AD174" s="57"/>
      <c r="AE174" s="105"/>
      <c r="AF174" s="644"/>
      <c r="AG174" s="198"/>
      <c r="AH174" s="199"/>
      <c r="AI174" s="200"/>
      <c r="AJ174" s="197"/>
      <c r="AK174" s="91"/>
      <c r="AL174"/>
      <c r="AM174"/>
      <c r="AN174"/>
      <c r="AO174"/>
      <c r="AP174"/>
      <c r="AQ17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224"/>
      <c r="BO174" s="224"/>
      <c r="BP174" s="224"/>
      <c r="BQ174" s="224"/>
      <c r="BR174" s="224"/>
      <c r="BS174" s="224"/>
      <c r="BT174" s="224"/>
      <c r="BU174" s="224"/>
      <c r="BV174" s="224"/>
      <c r="BW174" s="224"/>
      <c r="BX174" s="224"/>
      <c r="BY174" s="224"/>
      <c r="BZ174" s="224"/>
      <c r="CA174" s="224"/>
      <c r="CB174" s="224"/>
      <c r="CC174" s="224"/>
      <c r="CD174" s="224"/>
      <c r="CE174" s="224"/>
      <c r="CF174" s="224"/>
      <c r="CG174" s="224"/>
      <c r="CH174" s="224"/>
    </row>
    <row r="175" spans="1:86" s="1" customFormat="1" ht="18" hidden="1" customHeight="1">
      <c r="A175" s="515"/>
      <c r="B175" s="644"/>
      <c r="C175" s="194"/>
      <c r="D175" s="195"/>
      <c r="E175" s="196"/>
      <c r="F175" s="197"/>
      <c r="G175" s="529"/>
      <c r="H175" s="95"/>
      <c r="I175" s="13"/>
      <c r="J175" s="57"/>
      <c r="K175" s="105"/>
      <c r="L175" s="529"/>
      <c r="M175" s="95"/>
      <c r="N175" s="13"/>
      <c r="O175" s="57"/>
      <c r="P175" s="104"/>
      <c r="Q175" s="529"/>
      <c r="R175" s="95"/>
      <c r="S175" s="95"/>
      <c r="T175" s="57"/>
      <c r="U175" s="105"/>
      <c r="V175" s="529"/>
      <c r="W175" s="95"/>
      <c r="X175" s="13"/>
      <c r="Y175" s="57"/>
      <c r="Z175" s="105"/>
      <c r="AA175" s="529"/>
      <c r="AB175" s="208"/>
      <c r="AC175" s="13"/>
      <c r="AD175" s="57"/>
      <c r="AE175" s="105"/>
      <c r="AF175" s="644"/>
      <c r="AG175" s="198"/>
      <c r="AH175" s="199"/>
      <c r="AI175" s="200"/>
      <c r="AJ175" s="197"/>
      <c r="AK175" s="91"/>
      <c r="AL175"/>
      <c r="AM175"/>
      <c r="AN175"/>
      <c r="AO175"/>
      <c r="AP175"/>
      <c r="AQ175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224"/>
      <c r="BO175" s="224"/>
      <c r="BP175" s="224"/>
      <c r="BQ175" s="224"/>
      <c r="BR175" s="224"/>
      <c r="BS175" s="224"/>
      <c r="BT175" s="224"/>
      <c r="BU175" s="224"/>
      <c r="BV175" s="224"/>
      <c r="BW175" s="224"/>
      <c r="BX175" s="224"/>
      <c r="BY175" s="224"/>
      <c r="BZ175" s="224"/>
      <c r="CA175" s="224"/>
      <c r="CB175" s="224"/>
      <c r="CC175" s="224"/>
      <c r="CD175" s="224"/>
      <c r="CE175" s="224"/>
      <c r="CF175" s="224"/>
      <c r="CG175" s="224"/>
      <c r="CH175" s="224"/>
    </row>
    <row r="176" spans="1:86" s="1" customFormat="1" ht="18" hidden="1" customHeight="1">
      <c r="A176" s="515"/>
      <c r="B176" s="644"/>
      <c r="C176" s="194"/>
      <c r="D176" s="195"/>
      <c r="E176" s="196"/>
      <c r="F176" s="197"/>
      <c r="G176" s="529"/>
      <c r="H176" s="95"/>
      <c r="I176" s="13"/>
      <c r="J176" s="57"/>
      <c r="K176" s="105"/>
      <c r="L176" s="529"/>
      <c r="M176" s="95"/>
      <c r="N176" s="13"/>
      <c r="O176" s="57"/>
      <c r="P176" s="104"/>
      <c r="Q176" s="529"/>
      <c r="R176" s="95"/>
      <c r="S176" s="95"/>
      <c r="T176" s="57"/>
      <c r="U176" s="105"/>
      <c r="V176" s="529"/>
      <c r="W176" s="95"/>
      <c r="X176" s="13"/>
      <c r="Y176" s="57"/>
      <c r="Z176" s="105"/>
      <c r="AA176" s="529"/>
      <c r="AB176" s="208"/>
      <c r="AC176" s="13"/>
      <c r="AD176" s="57"/>
      <c r="AE176" s="105"/>
      <c r="AF176" s="644"/>
      <c r="AG176" s="198"/>
      <c r="AH176" s="199"/>
      <c r="AI176" s="200"/>
      <c r="AJ176" s="197"/>
      <c r="AK176" s="91"/>
      <c r="AL176"/>
      <c r="AM176"/>
      <c r="AN176"/>
      <c r="AO176"/>
      <c r="AP176"/>
      <c r="AQ176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4"/>
      <c r="BN176" s="224"/>
      <c r="BO176" s="224"/>
      <c r="BP176" s="224"/>
      <c r="BQ176" s="224"/>
      <c r="BR176" s="224"/>
      <c r="BS176" s="224"/>
      <c r="BT176" s="224"/>
      <c r="BU176" s="224"/>
      <c r="BV176" s="224"/>
      <c r="BW176" s="224"/>
      <c r="BX176" s="224"/>
      <c r="BY176" s="224"/>
      <c r="BZ176" s="224"/>
      <c r="CA176" s="224"/>
      <c r="CB176" s="224"/>
      <c r="CC176" s="224"/>
      <c r="CD176" s="224"/>
      <c r="CE176" s="224"/>
      <c r="CF176" s="224"/>
      <c r="CG176" s="224"/>
      <c r="CH176" s="224"/>
    </row>
    <row r="177" spans="1:86" s="1" customFormat="1" ht="18" hidden="1" customHeight="1">
      <c r="A177" s="515"/>
      <c r="B177" s="644"/>
      <c r="C177" s="194"/>
      <c r="D177" s="195"/>
      <c r="E177" s="196"/>
      <c r="F177" s="197"/>
      <c r="G177" s="529"/>
      <c r="H177" s="95"/>
      <c r="I177" s="13"/>
      <c r="J177" s="57"/>
      <c r="K177" s="105"/>
      <c r="L177" s="529"/>
      <c r="M177" s="95"/>
      <c r="N177" s="13"/>
      <c r="O177" s="57"/>
      <c r="P177" s="104"/>
      <c r="Q177" s="529"/>
      <c r="R177" s="95"/>
      <c r="S177" s="95"/>
      <c r="T177" s="57"/>
      <c r="U177" s="105"/>
      <c r="V177" s="529"/>
      <c r="W177" s="95"/>
      <c r="X177" s="13"/>
      <c r="Y177" s="57"/>
      <c r="Z177" s="105"/>
      <c r="AA177" s="529"/>
      <c r="AB177" s="208"/>
      <c r="AC177" s="13"/>
      <c r="AD177" s="57"/>
      <c r="AE177" s="105"/>
      <c r="AF177" s="644"/>
      <c r="AG177" s="198"/>
      <c r="AH177" s="199"/>
      <c r="AI177" s="200"/>
      <c r="AJ177" s="197"/>
      <c r="AK177" s="91"/>
      <c r="AL177"/>
      <c r="AM177"/>
      <c r="AN177"/>
      <c r="AO177"/>
      <c r="AP177"/>
      <c r="AQ177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4"/>
      <c r="BN177" s="224"/>
      <c r="BO177" s="224"/>
      <c r="BP177" s="224"/>
      <c r="BQ177" s="224"/>
      <c r="BR177" s="224"/>
      <c r="BS177" s="224"/>
      <c r="BT177" s="224"/>
      <c r="BU177" s="224"/>
      <c r="BV177" s="224"/>
      <c r="BW177" s="224"/>
      <c r="BX177" s="224"/>
      <c r="BY177" s="224"/>
      <c r="BZ177" s="224"/>
      <c r="CA177" s="224"/>
      <c r="CB177" s="224"/>
      <c r="CC177" s="224"/>
      <c r="CD177" s="224"/>
      <c r="CE177" s="224"/>
      <c r="CF177" s="224"/>
      <c r="CG177" s="224"/>
      <c r="CH177" s="224"/>
    </row>
    <row r="178" spans="1:86" s="1" customFormat="1" ht="18" hidden="1" customHeight="1">
      <c r="A178" s="515"/>
      <c r="B178" s="644"/>
      <c r="C178" s="194"/>
      <c r="D178" s="195"/>
      <c r="E178" s="196"/>
      <c r="F178" s="197"/>
      <c r="G178" s="529"/>
      <c r="H178" s="95"/>
      <c r="I178" s="13"/>
      <c r="J178" s="57"/>
      <c r="K178" s="105"/>
      <c r="L178" s="529"/>
      <c r="M178" s="95"/>
      <c r="N178" s="13"/>
      <c r="O178" s="57"/>
      <c r="P178" s="104"/>
      <c r="Q178" s="529"/>
      <c r="R178" s="95"/>
      <c r="S178" s="95"/>
      <c r="T178" s="57"/>
      <c r="U178" s="105"/>
      <c r="V178" s="529"/>
      <c r="W178" s="95"/>
      <c r="X178" s="13"/>
      <c r="Y178" s="57"/>
      <c r="Z178" s="105"/>
      <c r="AA178" s="529"/>
      <c r="AB178" s="208"/>
      <c r="AC178" s="13"/>
      <c r="AD178" s="57"/>
      <c r="AE178" s="105"/>
      <c r="AF178" s="644"/>
      <c r="AG178" s="198"/>
      <c r="AH178" s="199"/>
      <c r="AI178" s="200"/>
      <c r="AJ178" s="197"/>
      <c r="AK178" s="91"/>
      <c r="AL178"/>
      <c r="AM178"/>
      <c r="AN178"/>
      <c r="AO178"/>
      <c r="AP178"/>
      <c r="AQ178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</row>
    <row r="179" spans="1:86" s="1" customFormat="1" ht="18" hidden="1" customHeight="1">
      <c r="A179" s="515"/>
      <c r="B179" s="644"/>
      <c r="C179" s="194"/>
      <c r="D179" s="195"/>
      <c r="E179" s="196"/>
      <c r="F179" s="197"/>
      <c r="G179" s="529"/>
      <c r="H179" s="95"/>
      <c r="I179" s="13"/>
      <c r="J179" s="57"/>
      <c r="K179" s="105"/>
      <c r="L179" s="529"/>
      <c r="M179" s="95"/>
      <c r="N179" s="13"/>
      <c r="O179" s="57"/>
      <c r="P179" s="104"/>
      <c r="Q179" s="529"/>
      <c r="R179" s="95"/>
      <c r="S179" s="95"/>
      <c r="T179" s="57"/>
      <c r="U179" s="105"/>
      <c r="V179" s="529"/>
      <c r="W179" s="95"/>
      <c r="X179" s="13"/>
      <c r="Y179" s="57"/>
      <c r="Z179" s="105"/>
      <c r="AA179" s="529"/>
      <c r="AB179" s="208"/>
      <c r="AC179" s="13"/>
      <c r="AD179" s="57"/>
      <c r="AE179" s="105"/>
      <c r="AF179" s="644"/>
      <c r="AG179" s="198"/>
      <c r="AH179" s="199"/>
      <c r="AI179" s="200"/>
      <c r="AJ179" s="197"/>
      <c r="AK179" s="91"/>
      <c r="AL179"/>
      <c r="AM179"/>
      <c r="AN179"/>
      <c r="AO179"/>
      <c r="AP179"/>
      <c r="AQ179"/>
      <c r="AR179" s="224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4"/>
      <c r="BN179" s="224"/>
      <c r="BO179" s="224"/>
      <c r="BP179" s="224"/>
      <c r="BQ179" s="224"/>
      <c r="BR179" s="224"/>
      <c r="BS179" s="224"/>
      <c r="BT179" s="224"/>
      <c r="BU179" s="224"/>
      <c r="BV179" s="224"/>
      <c r="BW179" s="224"/>
      <c r="BX179" s="224"/>
      <c r="BY179" s="224"/>
      <c r="BZ179" s="224"/>
      <c r="CA179" s="224"/>
      <c r="CB179" s="224"/>
      <c r="CC179" s="224"/>
      <c r="CD179" s="224"/>
      <c r="CE179" s="224"/>
      <c r="CF179" s="224"/>
      <c r="CG179" s="224"/>
      <c r="CH179" s="224"/>
    </row>
    <row r="180" spans="1:86" s="1" customFormat="1" ht="18" hidden="1" customHeight="1">
      <c r="A180" s="515"/>
      <c r="B180" s="644"/>
      <c r="C180" s="194"/>
      <c r="D180" s="195"/>
      <c r="E180" s="196"/>
      <c r="F180" s="197"/>
      <c r="G180" s="529"/>
      <c r="H180" s="95"/>
      <c r="I180" s="13"/>
      <c r="J180" s="57"/>
      <c r="K180" s="105"/>
      <c r="L180" s="529"/>
      <c r="M180" s="95"/>
      <c r="N180" s="13"/>
      <c r="O180" s="57"/>
      <c r="P180" s="104"/>
      <c r="Q180" s="529"/>
      <c r="R180" s="95"/>
      <c r="S180" s="95"/>
      <c r="T180" s="57"/>
      <c r="U180" s="105"/>
      <c r="V180" s="529"/>
      <c r="W180" s="95"/>
      <c r="X180" s="13"/>
      <c r="Y180" s="57"/>
      <c r="Z180" s="105"/>
      <c r="AA180" s="529"/>
      <c r="AB180" s="208"/>
      <c r="AC180" s="13"/>
      <c r="AD180" s="57"/>
      <c r="AE180" s="105"/>
      <c r="AF180" s="644"/>
      <c r="AG180" s="198"/>
      <c r="AH180" s="199"/>
      <c r="AI180" s="200"/>
      <c r="AJ180" s="197"/>
      <c r="AK180" s="91"/>
      <c r="AL180"/>
      <c r="AM180"/>
      <c r="AN180"/>
      <c r="AO180"/>
      <c r="AP180"/>
      <c r="AQ180"/>
      <c r="AR180" s="224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4"/>
      <c r="BC180" s="224"/>
      <c r="BD180" s="224"/>
      <c r="BE180" s="224"/>
      <c r="BF180" s="224"/>
      <c r="BG180" s="224"/>
      <c r="BH180" s="224"/>
      <c r="BI180" s="224"/>
      <c r="BJ180" s="224"/>
      <c r="BK180" s="224"/>
      <c r="BL180" s="224"/>
      <c r="BM180" s="224"/>
      <c r="BN180" s="224"/>
      <c r="BO180" s="224"/>
      <c r="BP180" s="224"/>
      <c r="BQ180" s="224"/>
      <c r="BR180" s="224"/>
      <c r="BS180" s="224"/>
      <c r="BT180" s="224"/>
      <c r="BU180" s="224"/>
      <c r="BV180" s="224"/>
      <c r="BW180" s="224"/>
      <c r="BX180" s="224"/>
      <c r="BY180" s="224"/>
      <c r="BZ180" s="224"/>
      <c r="CA180" s="224"/>
      <c r="CB180" s="224"/>
      <c r="CC180" s="224"/>
      <c r="CD180" s="224"/>
      <c r="CE180" s="224"/>
      <c r="CF180" s="224"/>
      <c r="CG180" s="224"/>
      <c r="CH180" s="224"/>
    </row>
    <row r="181" spans="1:86" s="1" customFormat="1" ht="18" hidden="1" customHeight="1">
      <c r="A181" s="515"/>
      <c r="B181" s="644"/>
      <c r="C181" s="194"/>
      <c r="D181" s="195"/>
      <c r="E181" s="196"/>
      <c r="F181" s="197"/>
      <c r="G181" s="529"/>
      <c r="H181" s="95"/>
      <c r="I181" s="13"/>
      <c r="J181" s="57"/>
      <c r="K181" s="105"/>
      <c r="L181" s="529"/>
      <c r="M181" s="95"/>
      <c r="N181" s="13"/>
      <c r="O181" s="57"/>
      <c r="P181" s="104"/>
      <c r="Q181" s="529"/>
      <c r="R181" s="95"/>
      <c r="S181" s="95"/>
      <c r="T181" s="57"/>
      <c r="U181" s="105"/>
      <c r="V181" s="529"/>
      <c r="W181" s="95"/>
      <c r="X181" s="13"/>
      <c r="Y181" s="57"/>
      <c r="Z181" s="105"/>
      <c r="AA181" s="529"/>
      <c r="AB181" s="208"/>
      <c r="AC181" s="13"/>
      <c r="AD181" s="57"/>
      <c r="AE181" s="105"/>
      <c r="AF181" s="644"/>
      <c r="AG181" s="198"/>
      <c r="AH181" s="199"/>
      <c r="AI181" s="200"/>
      <c r="AJ181" s="197"/>
      <c r="AK181" s="91"/>
      <c r="AL181"/>
      <c r="AM181"/>
      <c r="AN181"/>
      <c r="AO181"/>
      <c r="AP181"/>
      <c r="AQ181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  <c r="BQ181" s="224"/>
      <c r="BR181" s="224"/>
      <c r="BS181" s="224"/>
      <c r="BT181" s="224"/>
      <c r="BU181" s="224"/>
      <c r="BV181" s="224"/>
      <c r="BW181" s="224"/>
      <c r="BX181" s="224"/>
      <c r="BY181" s="224"/>
      <c r="BZ181" s="224"/>
      <c r="CA181" s="224"/>
      <c r="CB181" s="224"/>
      <c r="CC181" s="224"/>
      <c r="CD181" s="224"/>
      <c r="CE181" s="224"/>
      <c r="CF181" s="224"/>
      <c r="CG181" s="224"/>
      <c r="CH181" s="224"/>
    </row>
    <row r="182" spans="1:86" s="1" customFormat="1" ht="18" hidden="1" customHeight="1">
      <c r="A182" s="515"/>
      <c r="B182" s="644"/>
      <c r="C182" s="194"/>
      <c r="D182" s="195"/>
      <c r="E182" s="196"/>
      <c r="F182" s="197"/>
      <c r="G182" s="529"/>
      <c r="H182" s="95"/>
      <c r="I182" s="13"/>
      <c r="J182" s="57"/>
      <c r="K182" s="105"/>
      <c r="L182" s="529"/>
      <c r="M182" s="95"/>
      <c r="N182" s="13"/>
      <c r="O182" s="57"/>
      <c r="P182" s="104"/>
      <c r="Q182" s="529"/>
      <c r="R182" s="95"/>
      <c r="S182" s="95"/>
      <c r="T182" s="57"/>
      <c r="U182" s="105"/>
      <c r="V182" s="529"/>
      <c r="W182" s="95"/>
      <c r="X182" s="13"/>
      <c r="Y182" s="57"/>
      <c r="Z182" s="105"/>
      <c r="AA182" s="529"/>
      <c r="AB182" s="208"/>
      <c r="AC182" s="13"/>
      <c r="AD182" s="57"/>
      <c r="AE182" s="105"/>
      <c r="AF182" s="644"/>
      <c r="AG182" s="198"/>
      <c r="AH182" s="199"/>
      <c r="AI182" s="200"/>
      <c r="AJ182" s="197"/>
      <c r="AK182" s="91"/>
      <c r="AL182"/>
      <c r="AM182"/>
      <c r="AN182"/>
      <c r="AO182"/>
      <c r="AP182"/>
      <c r="AQ182"/>
      <c r="AR182" s="224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  <c r="BP182" s="224"/>
      <c r="BQ182" s="224"/>
      <c r="BR182" s="224"/>
      <c r="BS182" s="224"/>
      <c r="BT182" s="224"/>
      <c r="BU182" s="224"/>
      <c r="BV182" s="224"/>
      <c r="BW182" s="224"/>
      <c r="BX182" s="224"/>
      <c r="BY182" s="224"/>
      <c r="BZ182" s="224"/>
      <c r="CA182" s="224"/>
      <c r="CB182" s="224"/>
      <c r="CC182" s="224"/>
      <c r="CD182" s="224"/>
      <c r="CE182" s="224"/>
      <c r="CF182" s="224"/>
      <c r="CG182" s="224"/>
      <c r="CH182" s="224"/>
    </row>
    <row r="183" spans="1:86" s="1" customFormat="1" ht="18" hidden="1" customHeight="1">
      <c r="A183" s="593"/>
      <c r="B183" s="645"/>
      <c r="C183" s="201"/>
      <c r="D183" s="202"/>
      <c r="E183" s="203"/>
      <c r="F183" s="204"/>
      <c r="G183" s="530"/>
      <c r="H183" s="95"/>
      <c r="I183" s="13"/>
      <c r="J183" s="57"/>
      <c r="K183" s="107"/>
      <c r="L183" s="530"/>
      <c r="M183" s="95"/>
      <c r="N183" s="13"/>
      <c r="O183" s="57"/>
      <c r="P183" s="106"/>
      <c r="Q183" s="530"/>
      <c r="R183" s="95"/>
      <c r="S183" s="95"/>
      <c r="T183" s="57"/>
      <c r="U183" s="107"/>
      <c r="V183" s="530"/>
      <c r="W183" s="95"/>
      <c r="X183" s="13"/>
      <c r="Y183" s="57"/>
      <c r="Z183" s="107"/>
      <c r="AA183" s="530"/>
      <c r="AB183" s="208"/>
      <c r="AC183" s="13"/>
      <c r="AD183" s="57"/>
      <c r="AE183" s="105"/>
      <c r="AF183" s="645"/>
      <c r="AG183" s="205"/>
      <c r="AH183" s="206"/>
      <c r="AI183" s="207"/>
      <c r="AJ183" s="204"/>
      <c r="AK183" s="91"/>
      <c r="AL183"/>
      <c r="AM183"/>
      <c r="AN183"/>
      <c r="AO183"/>
      <c r="AP183"/>
      <c r="AQ183"/>
      <c r="AR183" s="224"/>
      <c r="AS183" s="224"/>
      <c r="AT183" s="224"/>
      <c r="AU183" s="224"/>
      <c r="AV183" s="224"/>
      <c r="AW183" s="224"/>
      <c r="AX183" s="224"/>
      <c r="AY183" s="224"/>
      <c r="AZ183" s="224"/>
      <c r="BA183" s="224"/>
      <c r="BB183" s="224"/>
      <c r="BC183" s="224"/>
      <c r="BD183" s="224"/>
      <c r="BE183" s="224"/>
      <c r="BF183" s="224"/>
      <c r="BG183" s="224"/>
      <c r="BH183" s="224"/>
      <c r="BI183" s="224"/>
      <c r="BJ183" s="224"/>
      <c r="BK183" s="224"/>
      <c r="BL183" s="224"/>
      <c r="BM183" s="224"/>
      <c r="BN183" s="224"/>
      <c r="BO183" s="224"/>
      <c r="BP183" s="224"/>
      <c r="BQ183" s="224"/>
      <c r="BR183" s="224"/>
      <c r="BS183" s="224"/>
      <c r="BT183" s="224"/>
      <c r="BU183" s="224"/>
      <c r="BV183" s="224"/>
      <c r="BW183" s="224"/>
      <c r="BX183" s="224"/>
      <c r="BY183" s="224"/>
      <c r="BZ183" s="224"/>
      <c r="CA183" s="224"/>
      <c r="CB183" s="224"/>
      <c r="CC183" s="224"/>
      <c r="CD183" s="224"/>
      <c r="CE183" s="224"/>
      <c r="CF183" s="224"/>
      <c r="CG183" s="224"/>
      <c r="CH183" s="224"/>
    </row>
    <row r="184" spans="1:86" s="1" customFormat="1" ht="18" customHeight="1">
      <c r="A184" s="613" t="s">
        <v>34</v>
      </c>
      <c r="B184" s="643"/>
      <c r="C184" s="187"/>
      <c r="D184" s="188"/>
      <c r="E184" s="189"/>
      <c r="F184" s="213"/>
      <c r="G184" s="616"/>
      <c r="H184" s="93"/>
      <c r="I184" s="9"/>
      <c r="J184" s="56"/>
      <c r="K184" s="34"/>
      <c r="L184" s="616"/>
      <c r="M184" s="93"/>
      <c r="N184" s="9"/>
      <c r="O184" s="56"/>
      <c r="P184" s="34"/>
      <c r="Q184" s="616"/>
      <c r="R184" s="93"/>
      <c r="S184" s="9"/>
      <c r="T184" s="56"/>
      <c r="U184" s="34"/>
      <c r="V184" s="616"/>
      <c r="W184" s="93"/>
      <c r="X184" s="9"/>
      <c r="Y184" s="56"/>
      <c r="Z184" s="34"/>
      <c r="AA184" s="616"/>
      <c r="AB184" s="93"/>
      <c r="AC184" s="9"/>
      <c r="AD184" s="56"/>
      <c r="AE184" s="34"/>
      <c r="AF184" s="643"/>
      <c r="AG184" s="191"/>
      <c r="AH184" s="192"/>
      <c r="AI184" s="193"/>
      <c r="AJ184" s="213"/>
      <c r="AK184" s="91"/>
      <c r="AL184"/>
      <c r="AM184"/>
      <c r="AN184"/>
      <c r="AO184"/>
      <c r="AP184"/>
      <c r="AQ184"/>
      <c r="AR184" s="22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  <c r="BP184" s="224"/>
      <c r="BQ184" s="224"/>
      <c r="BR184" s="224"/>
      <c r="BS184" s="224"/>
      <c r="BT184" s="224"/>
      <c r="BU184" s="224"/>
      <c r="BV184" s="224"/>
      <c r="BW184" s="224"/>
      <c r="BX184" s="224"/>
      <c r="BY184" s="224"/>
      <c r="BZ184" s="224"/>
      <c r="CA184" s="224"/>
      <c r="CB184" s="224"/>
      <c r="CC184" s="224"/>
      <c r="CD184" s="224"/>
      <c r="CE184" s="224"/>
      <c r="CF184" s="224"/>
      <c r="CG184" s="224"/>
      <c r="CH184" s="224"/>
    </row>
    <row r="185" spans="1:86" s="1" customFormat="1" ht="18" customHeight="1">
      <c r="A185" s="614"/>
      <c r="B185" s="644"/>
      <c r="C185" s="194"/>
      <c r="D185" s="195"/>
      <c r="E185" s="196"/>
      <c r="F185" s="214"/>
      <c r="G185" s="617"/>
      <c r="H185" s="97"/>
      <c r="I185" s="13"/>
      <c r="J185" s="57"/>
      <c r="K185" s="58"/>
      <c r="L185" s="617"/>
      <c r="M185" s="97"/>
      <c r="N185" s="13"/>
      <c r="O185" s="57"/>
      <c r="P185" s="58"/>
      <c r="Q185" s="617"/>
      <c r="R185" s="97"/>
      <c r="S185" s="13"/>
      <c r="T185" s="57"/>
      <c r="U185" s="58"/>
      <c r="V185" s="617"/>
      <c r="W185" s="97"/>
      <c r="X185" s="13"/>
      <c r="Y185" s="57"/>
      <c r="Z185" s="58"/>
      <c r="AA185" s="617"/>
      <c r="AB185" s="97"/>
      <c r="AC185" s="13"/>
      <c r="AD185" s="57"/>
      <c r="AE185" s="58"/>
      <c r="AF185" s="644"/>
      <c r="AG185" s="198"/>
      <c r="AH185" s="199"/>
      <c r="AI185" s="200"/>
      <c r="AJ185" s="214"/>
      <c r="AK185" s="91"/>
      <c r="AL185"/>
      <c r="AM185"/>
      <c r="AN185"/>
      <c r="AO185"/>
      <c r="AP185"/>
      <c r="AQ185"/>
      <c r="AR185" s="224"/>
      <c r="AS185" s="224"/>
      <c r="AT185" s="224"/>
      <c r="AU185" s="224"/>
      <c r="AV185" s="224"/>
      <c r="AW185" s="224"/>
      <c r="AX185" s="224"/>
      <c r="AY185" s="224"/>
      <c r="AZ185" s="224"/>
      <c r="BA185" s="224"/>
      <c r="BB185" s="224"/>
      <c r="BC185" s="224"/>
      <c r="BD185" s="224"/>
      <c r="BE185" s="224"/>
      <c r="BF185" s="224"/>
      <c r="BG185" s="224"/>
      <c r="BH185" s="224"/>
      <c r="BI185" s="224"/>
      <c r="BJ185" s="224"/>
      <c r="BK185" s="224"/>
      <c r="BL185" s="224"/>
      <c r="BM185" s="224"/>
      <c r="BN185" s="224"/>
      <c r="BO185" s="224"/>
      <c r="BP185" s="224"/>
      <c r="BQ185" s="224"/>
      <c r="BR185" s="224"/>
      <c r="BS185" s="224"/>
      <c r="BT185" s="224"/>
      <c r="BU185" s="224"/>
      <c r="BV185" s="224"/>
      <c r="BW185" s="224"/>
      <c r="BX185" s="224"/>
      <c r="BY185" s="224"/>
      <c r="BZ185" s="224"/>
      <c r="CA185" s="224"/>
      <c r="CB185" s="224"/>
      <c r="CC185" s="224"/>
      <c r="CD185" s="224"/>
      <c r="CE185" s="224"/>
      <c r="CF185" s="224"/>
      <c r="CG185" s="224"/>
      <c r="CH185" s="224"/>
    </row>
    <row r="186" spans="1:86" s="1" customFormat="1" ht="18" customHeight="1">
      <c r="A186" s="614"/>
      <c r="B186" s="644"/>
      <c r="C186" s="194"/>
      <c r="D186" s="195"/>
      <c r="E186" s="196"/>
      <c r="F186" s="214"/>
      <c r="G186" s="617"/>
      <c r="H186" s="97"/>
      <c r="I186" s="13"/>
      <c r="J186" s="57"/>
      <c r="K186" s="58"/>
      <c r="L186" s="617"/>
      <c r="M186" s="97"/>
      <c r="N186" s="13"/>
      <c r="O186" s="57"/>
      <c r="P186" s="58"/>
      <c r="Q186" s="617"/>
      <c r="R186" s="97"/>
      <c r="S186" s="13"/>
      <c r="T186" s="57"/>
      <c r="U186" s="58"/>
      <c r="V186" s="617"/>
      <c r="W186" s="97"/>
      <c r="X186" s="13"/>
      <c r="Y186" s="57"/>
      <c r="Z186" s="58"/>
      <c r="AA186" s="617"/>
      <c r="AB186" s="97"/>
      <c r="AC186" s="13"/>
      <c r="AD186" s="57"/>
      <c r="AE186" s="58"/>
      <c r="AF186" s="644"/>
      <c r="AG186" s="198"/>
      <c r="AH186" s="199"/>
      <c r="AI186" s="200"/>
      <c r="AJ186" s="214"/>
      <c r="AK186" s="91"/>
      <c r="AL186"/>
      <c r="AM186"/>
      <c r="AN186"/>
      <c r="AO186"/>
      <c r="AP186"/>
      <c r="AQ186"/>
      <c r="AR186" s="224"/>
      <c r="AS186" s="224"/>
      <c r="AT186" s="224"/>
      <c r="AU186" s="224"/>
      <c r="AV186" s="224"/>
      <c r="AW186" s="224"/>
      <c r="AX186" s="224"/>
      <c r="AY186" s="224"/>
      <c r="AZ186" s="224"/>
      <c r="BA186" s="224"/>
      <c r="BB186" s="224"/>
      <c r="BC186" s="224"/>
      <c r="BD186" s="224"/>
      <c r="BE186" s="224"/>
      <c r="BF186" s="224"/>
      <c r="BG186" s="224"/>
      <c r="BH186" s="224"/>
      <c r="BI186" s="224"/>
      <c r="BJ186" s="224"/>
      <c r="BK186" s="224"/>
      <c r="BL186" s="224"/>
      <c r="BM186" s="224"/>
      <c r="BN186" s="224"/>
      <c r="BO186" s="224"/>
      <c r="BP186" s="224"/>
      <c r="BQ186" s="224"/>
      <c r="BR186" s="224"/>
      <c r="BS186" s="224"/>
      <c r="BT186" s="224"/>
      <c r="BU186" s="224"/>
      <c r="BV186" s="224"/>
      <c r="BW186" s="224"/>
      <c r="BX186" s="224"/>
      <c r="BY186" s="224"/>
      <c r="BZ186" s="224"/>
      <c r="CA186" s="224"/>
      <c r="CB186" s="224"/>
      <c r="CC186" s="224"/>
      <c r="CD186" s="224"/>
      <c r="CE186" s="224"/>
      <c r="CF186" s="224"/>
      <c r="CG186" s="224"/>
      <c r="CH186" s="224"/>
    </row>
    <row r="187" spans="1:86" s="1" customFormat="1" ht="18" customHeight="1">
      <c r="A187" s="614"/>
      <c r="B187" s="644"/>
      <c r="C187" s="194"/>
      <c r="D187" s="195"/>
      <c r="E187" s="196"/>
      <c r="F187" s="214"/>
      <c r="G187" s="617"/>
      <c r="H187" s="97"/>
      <c r="I187" s="13"/>
      <c r="J187" s="57"/>
      <c r="K187" s="58"/>
      <c r="L187" s="617"/>
      <c r="M187" s="97"/>
      <c r="N187" s="13"/>
      <c r="O187" s="57"/>
      <c r="P187" s="58"/>
      <c r="Q187" s="617"/>
      <c r="R187" s="97"/>
      <c r="S187" s="13"/>
      <c r="T187" s="57"/>
      <c r="U187" s="58"/>
      <c r="V187" s="617"/>
      <c r="W187" s="97"/>
      <c r="X187" s="13"/>
      <c r="Y187" s="57"/>
      <c r="Z187" s="58"/>
      <c r="AA187" s="617"/>
      <c r="AB187" s="97"/>
      <c r="AC187" s="13"/>
      <c r="AD187" s="57"/>
      <c r="AE187" s="58"/>
      <c r="AF187" s="644"/>
      <c r="AG187" s="198"/>
      <c r="AH187" s="199"/>
      <c r="AI187" s="200"/>
      <c r="AJ187" s="214"/>
      <c r="AK187" s="91"/>
      <c r="AL187"/>
      <c r="AM187"/>
      <c r="AN187"/>
      <c r="AO187"/>
      <c r="AP187"/>
      <c r="AQ187"/>
      <c r="AR187" s="224"/>
      <c r="AS187" s="224"/>
      <c r="AT187" s="224"/>
      <c r="AU187" s="224"/>
      <c r="AV187" s="224"/>
      <c r="AW187" s="224"/>
      <c r="AX187" s="224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24"/>
      <c r="BM187" s="224"/>
      <c r="BN187" s="224"/>
      <c r="BO187" s="224"/>
      <c r="BP187" s="224"/>
      <c r="BQ187" s="224"/>
      <c r="BR187" s="224"/>
      <c r="BS187" s="224"/>
      <c r="BT187" s="224"/>
      <c r="BU187" s="224"/>
      <c r="BV187" s="224"/>
      <c r="BW187" s="224"/>
      <c r="BX187" s="224"/>
      <c r="BY187" s="224"/>
      <c r="BZ187" s="224"/>
      <c r="CA187" s="224"/>
      <c r="CB187" s="224"/>
      <c r="CC187" s="224"/>
      <c r="CD187" s="224"/>
      <c r="CE187" s="224"/>
      <c r="CF187" s="224"/>
      <c r="CG187" s="224"/>
      <c r="CH187" s="224"/>
    </row>
    <row r="188" spans="1:86" s="1" customFormat="1" ht="17.25" customHeight="1">
      <c r="A188" s="614"/>
      <c r="B188" s="644"/>
      <c r="C188" s="194"/>
      <c r="D188" s="195"/>
      <c r="E188" s="196"/>
      <c r="F188" s="214"/>
      <c r="G188" s="617"/>
      <c r="H188" s="97"/>
      <c r="I188" s="13"/>
      <c r="J188" s="57"/>
      <c r="K188" s="58"/>
      <c r="L188" s="617"/>
      <c r="M188" s="97"/>
      <c r="N188" s="13"/>
      <c r="O188" s="57"/>
      <c r="P188" s="58"/>
      <c r="Q188" s="617"/>
      <c r="R188" s="97"/>
      <c r="S188" s="13"/>
      <c r="T188" s="57"/>
      <c r="U188" s="58"/>
      <c r="V188" s="617"/>
      <c r="W188" s="97"/>
      <c r="X188" s="13"/>
      <c r="Y188" s="57"/>
      <c r="Z188" s="58"/>
      <c r="AA188" s="617"/>
      <c r="AB188" s="97"/>
      <c r="AC188" s="13"/>
      <c r="AD188" s="57"/>
      <c r="AE188" s="58"/>
      <c r="AF188" s="644"/>
      <c r="AG188" s="198"/>
      <c r="AH188" s="199"/>
      <c r="AI188" s="200"/>
      <c r="AJ188" s="214"/>
      <c r="AK188" s="91"/>
      <c r="AL188"/>
      <c r="AM188"/>
      <c r="AN188"/>
      <c r="AO188"/>
      <c r="AP188"/>
      <c r="AQ188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4"/>
      <c r="BN188" s="224"/>
      <c r="BO188" s="224"/>
      <c r="BP188" s="224"/>
      <c r="BQ188" s="224"/>
      <c r="BR188" s="224"/>
      <c r="BS188" s="224"/>
      <c r="BT188" s="224"/>
      <c r="BU188" s="224"/>
      <c r="BV188" s="224"/>
      <c r="BW188" s="224"/>
      <c r="BX188" s="224"/>
      <c r="BY188" s="224"/>
      <c r="BZ188" s="224"/>
      <c r="CA188" s="224"/>
      <c r="CB188" s="224"/>
      <c r="CC188" s="224"/>
      <c r="CD188" s="224"/>
      <c r="CE188" s="224"/>
      <c r="CF188" s="224"/>
      <c r="CG188" s="224"/>
      <c r="CH188" s="224"/>
    </row>
    <row r="189" spans="1:86" s="1" customFormat="1" ht="18" customHeight="1">
      <c r="A189" s="614"/>
      <c r="B189" s="644"/>
      <c r="C189" s="194"/>
      <c r="D189" s="195"/>
      <c r="E189" s="196"/>
      <c r="F189" s="197"/>
      <c r="G189" s="617"/>
      <c r="H189" s="97"/>
      <c r="I189" s="13"/>
      <c r="J189" s="57"/>
      <c r="K189" s="58"/>
      <c r="L189" s="617"/>
      <c r="M189" s="97"/>
      <c r="N189" s="13"/>
      <c r="O189" s="57"/>
      <c r="P189" s="58"/>
      <c r="Q189" s="617"/>
      <c r="R189" s="97"/>
      <c r="S189" s="13"/>
      <c r="T189" s="57"/>
      <c r="U189" s="58"/>
      <c r="V189" s="617"/>
      <c r="W189" s="97"/>
      <c r="X189" s="13"/>
      <c r="Y189" s="57"/>
      <c r="Z189" s="58"/>
      <c r="AA189" s="617"/>
      <c r="AB189" s="97"/>
      <c r="AC189" s="13"/>
      <c r="AD189" s="57"/>
      <c r="AE189" s="58"/>
      <c r="AF189" s="644"/>
      <c r="AG189" s="198"/>
      <c r="AH189" s="199"/>
      <c r="AI189" s="200"/>
      <c r="AJ189" s="197"/>
      <c r="AK189" s="91"/>
      <c r="AL189"/>
      <c r="AM189"/>
      <c r="AN189"/>
      <c r="AO189"/>
      <c r="AP189"/>
      <c r="AQ189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4"/>
      <c r="BN189" s="224"/>
      <c r="BO189" s="224"/>
      <c r="BP189" s="224"/>
      <c r="BQ189" s="224"/>
      <c r="BR189" s="224"/>
      <c r="BS189" s="224"/>
      <c r="BT189" s="224"/>
      <c r="BU189" s="224"/>
      <c r="BV189" s="224"/>
      <c r="BW189" s="224"/>
      <c r="BX189" s="224"/>
      <c r="BY189" s="224"/>
      <c r="BZ189" s="224"/>
      <c r="CA189" s="224"/>
      <c r="CB189" s="224"/>
      <c r="CC189" s="224"/>
      <c r="CD189" s="224"/>
      <c r="CE189" s="224"/>
      <c r="CF189" s="224"/>
      <c r="CG189" s="224"/>
      <c r="CH189" s="224"/>
    </row>
    <row r="190" spans="1:86" s="1" customFormat="1" ht="18" customHeight="1">
      <c r="A190" s="614"/>
      <c r="B190" s="644"/>
      <c r="C190" s="194"/>
      <c r="D190" s="195"/>
      <c r="E190" s="196"/>
      <c r="F190" s="197"/>
      <c r="G190" s="617"/>
      <c r="H190" s="97"/>
      <c r="I190" s="13"/>
      <c r="J190" s="57"/>
      <c r="K190" s="58"/>
      <c r="L190" s="617"/>
      <c r="M190" s="97"/>
      <c r="N190" s="13"/>
      <c r="O190" s="57"/>
      <c r="P190" s="58"/>
      <c r="Q190" s="617"/>
      <c r="R190" s="97"/>
      <c r="S190" s="13"/>
      <c r="T190" s="57"/>
      <c r="U190" s="58"/>
      <c r="V190" s="617"/>
      <c r="W190" s="97"/>
      <c r="X190" s="13"/>
      <c r="Y190" s="57"/>
      <c r="Z190" s="58"/>
      <c r="AA190" s="617"/>
      <c r="AB190" s="97"/>
      <c r="AC190" s="13"/>
      <c r="AD190" s="57"/>
      <c r="AE190" s="58"/>
      <c r="AF190" s="644"/>
      <c r="AG190" s="198"/>
      <c r="AH190" s="199"/>
      <c r="AI190" s="200"/>
      <c r="AJ190" s="197"/>
      <c r="AK190" s="91"/>
      <c r="AL190"/>
      <c r="AM190"/>
      <c r="AN190"/>
      <c r="AO190"/>
      <c r="AP190"/>
      <c r="AQ190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4"/>
      <c r="BN190" s="224"/>
      <c r="BO190" s="224"/>
      <c r="BP190" s="224"/>
      <c r="BQ190" s="224"/>
      <c r="BR190" s="224"/>
      <c r="BS190" s="224"/>
      <c r="BT190" s="224"/>
      <c r="BU190" s="224"/>
      <c r="BV190" s="224"/>
      <c r="BW190" s="224"/>
      <c r="BX190" s="224"/>
      <c r="BY190" s="224"/>
      <c r="BZ190" s="224"/>
      <c r="CA190" s="224"/>
      <c r="CB190" s="224"/>
      <c r="CC190" s="224"/>
      <c r="CD190" s="224"/>
      <c r="CE190" s="224"/>
      <c r="CF190" s="224"/>
      <c r="CG190" s="224"/>
      <c r="CH190" s="224"/>
    </row>
    <row r="191" spans="1:86" s="1" customFormat="1" ht="18" customHeight="1" thickBot="1">
      <c r="A191" s="614"/>
      <c r="B191" s="644"/>
      <c r="C191" s="194"/>
      <c r="D191" s="195"/>
      <c r="E191" s="196"/>
      <c r="F191" s="197"/>
      <c r="G191" s="617"/>
      <c r="H191" s="94"/>
      <c r="I191" s="14"/>
      <c r="J191" s="57"/>
      <c r="K191" s="58"/>
      <c r="L191" s="617"/>
      <c r="M191" s="94"/>
      <c r="N191" s="14"/>
      <c r="O191" s="57"/>
      <c r="P191" s="58"/>
      <c r="Q191" s="617"/>
      <c r="R191" s="94"/>
      <c r="S191" s="14"/>
      <c r="T191" s="57"/>
      <c r="U191" s="58"/>
      <c r="V191" s="617"/>
      <c r="W191" s="94"/>
      <c r="X191" s="14"/>
      <c r="Y191" s="57"/>
      <c r="Z191" s="58"/>
      <c r="AA191" s="617"/>
      <c r="AB191" s="94"/>
      <c r="AC191" s="14"/>
      <c r="AD191" s="57"/>
      <c r="AE191" s="58"/>
      <c r="AF191" s="644"/>
      <c r="AG191" s="198"/>
      <c r="AH191" s="199"/>
      <c r="AI191" s="200"/>
      <c r="AJ191" s="197"/>
      <c r="AK191" s="91"/>
      <c r="AL191"/>
      <c r="AM191"/>
      <c r="AN191"/>
      <c r="AO191"/>
      <c r="AP191"/>
      <c r="AQ191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4"/>
      <c r="BN191" s="224"/>
      <c r="BO191" s="224"/>
      <c r="BP191" s="224"/>
      <c r="BQ191" s="224"/>
      <c r="BR191" s="224"/>
      <c r="BS191" s="224"/>
      <c r="BT191" s="224"/>
      <c r="BU191" s="224"/>
      <c r="BV191" s="224"/>
      <c r="BW191" s="224"/>
      <c r="BX191" s="224"/>
      <c r="BY191" s="224"/>
      <c r="BZ191" s="224"/>
      <c r="CA191" s="224"/>
      <c r="CB191" s="224"/>
      <c r="CC191" s="224"/>
      <c r="CD191" s="224"/>
      <c r="CE191" s="224"/>
      <c r="CF191" s="224"/>
      <c r="CG191" s="224"/>
      <c r="CH191" s="224"/>
    </row>
    <row r="192" spans="1:86" s="1" customFormat="1" ht="18" hidden="1" customHeight="1" thickBot="1">
      <c r="A192" s="614"/>
      <c r="B192" s="644"/>
      <c r="C192" s="194"/>
      <c r="D192" s="195"/>
      <c r="E192" s="196"/>
      <c r="F192" s="197"/>
      <c r="G192" s="617"/>
      <c r="H192" s="112"/>
      <c r="I192" s="109"/>
      <c r="J192" s="111"/>
      <c r="K192" s="58"/>
      <c r="L192" s="617"/>
      <c r="M192" s="112"/>
      <c r="N192" s="109"/>
      <c r="O192" s="111"/>
      <c r="P192" s="58"/>
      <c r="Q192" s="617"/>
      <c r="R192" s="112"/>
      <c r="S192" s="109"/>
      <c r="T192" s="111"/>
      <c r="U192" s="58"/>
      <c r="V192" s="617"/>
      <c r="W192" s="112"/>
      <c r="X192" s="109"/>
      <c r="Y192" s="111"/>
      <c r="Z192" s="58"/>
      <c r="AA192" s="617"/>
      <c r="AB192" s="112"/>
      <c r="AC192" s="109"/>
      <c r="AD192" s="111"/>
      <c r="AE192" s="58"/>
      <c r="AF192" s="644"/>
      <c r="AG192" s="198"/>
      <c r="AH192" s="199"/>
      <c r="AI192" s="200"/>
      <c r="AJ192" s="197"/>
      <c r="AK192" s="91"/>
      <c r="AL192"/>
      <c r="AM192"/>
      <c r="AN192"/>
      <c r="AO192"/>
      <c r="AP192"/>
      <c r="AQ192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4"/>
      <c r="BN192" s="224"/>
      <c r="BO192" s="224"/>
      <c r="BP192" s="224"/>
      <c r="BQ192" s="224"/>
      <c r="BR192" s="224"/>
      <c r="BS192" s="224"/>
      <c r="BT192" s="224"/>
      <c r="BU192" s="224"/>
      <c r="BV192" s="224"/>
      <c r="BW192" s="224"/>
      <c r="BX192" s="224"/>
      <c r="BY192" s="224"/>
      <c r="BZ192" s="224"/>
      <c r="CA192" s="224"/>
      <c r="CB192" s="224"/>
      <c r="CC192" s="224"/>
      <c r="CD192" s="224"/>
      <c r="CE192" s="224"/>
      <c r="CF192" s="224"/>
      <c r="CG192" s="224"/>
      <c r="CH192" s="224"/>
    </row>
    <row r="193" spans="1:86" s="1" customFormat="1" ht="18" hidden="1" customHeight="1">
      <c r="A193" s="614"/>
      <c r="B193" s="644"/>
      <c r="C193" s="194"/>
      <c r="D193" s="195"/>
      <c r="E193" s="196"/>
      <c r="F193" s="197"/>
      <c r="G193" s="617"/>
      <c r="H193" s="112"/>
      <c r="I193" s="109"/>
      <c r="J193" s="111"/>
      <c r="K193" s="58"/>
      <c r="L193" s="617"/>
      <c r="M193" s="112"/>
      <c r="N193" s="109"/>
      <c r="O193" s="111"/>
      <c r="P193" s="58"/>
      <c r="Q193" s="617"/>
      <c r="R193" s="112"/>
      <c r="S193" s="109"/>
      <c r="T193" s="111"/>
      <c r="U193" s="58"/>
      <c r="V193" s="617"/>
      <c r="W193" s="112"/>
      <c r="X193" s="109"/>
      <c r="Y193" s="111"/>
      <c r="Z193" s="58"/>
      <c r="AA193" s="617"/>
      <c r="AB193" s="112"/>
      <c r="AC193" s="109"/>
      <c r="AD193" s="111"/>
      <c r="AE193" s="58"/>
      <c r="AF193" s="644"/>
      <c r="AG193" s="198"/>
      <c r="AH193" s="199"/>
      <c r="AI193" s="200"/>
      <c r="AJ193" s="197"/>
      <c r="AK193" s="91"/>
      <c r="AL193"/>
      <c r="AM193"/>
      <c r="AN193"/>
      <c r="AO193"/>
      <c r="AP193"/>
      <c r="AQ193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4"/>
      <c r="BN193" s="224"/>
      <c r="BO193" s="224"/>
      <c r="BP193" s="224"/>
      <c r="BQ193" s="224"/>
      <c r="BR193" s="224"/>
      <c r="BS193" s="224"/>
      <c r="BT193" s="224"/>
      <c r="BU193" s="224"/>
      <c r="BV193" s="224"/>
      <c r="BW193" s="224"/>
      <c r="BX193" s="224"/>
      <c r="BY193" s="224"/>
      <c r="BZ193" s="224"/>
      <c r="CA193" s="224"/>
      <c r="CB193" s="224"/>
      <c r="CC193" s="224"/>
      <c r="CD193" s="224"/>
      <c r="CE193" s="224"/>
      <c r="CF193" s="224"/>
      <c r="CG193" s="224"/>
      <c r="CH193" s="224"/>
    </row>
    <row r="194" spans="1:86" s="1" customFormat="1" ht="18" hidden="1" customHeight="1">
      <c r="A194" s="614"/>
      <c r="B194" s="644"/>
      <c r="C194" s="194"/>
      <c r="D194" s="195"/>
      <c r="E194" s="196"/>
      <c r="F194" s="197"/>
      <c r="G194" s="617"/>
      <c r="H194" s="112"/>
      <c r="I194" s="109"/>
      <c r="J194" s="111"/>
      <c r="K194" s="58"/>
      <c r="L194" s="617"/>
      <c r="M194" s="112"/>
      <c r="N194" s="109"/>
      <c r="O194" s="111"/>
      <c r="P194" s="58"/>
      <c r="Q194" s="617"/>
      <c r="R194" s="112"/>
      <c r="S194" s="109"/>
      <c r="T194" s="111"/>
      <c r="U194" s="58"/>
      <c r="V194" s="617"/>
      <c r="W194" s="112"/>
      <c r="X194" s="109"/>
      <c r="Y194" s="111"/>
      <c r="Z194" s="58"/>
      <c r="AA194" s="617"/>
      <c r="AB194" s="112"/>
      <c r="AC194" s="109"/>
      <c r="AD194" s="111"/>
      <c r="AE194" s="58"/>
      <c r="AF194" s="644"/>
      <c r="AG194" s="198"/>
      <c r="AH194" s="199"/>
      <c r="AI194" s="200"/>
      <c r="AJ194" s="197"/>
      <c r="AK194" s="91"/>
      <c r="AL194"/>
      <c r="AM194"/>
      <c r="AN194"/>
      <c r="AO194"/>
      <c r="AP194"/>
      <c r="AQ19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4"/>
      <c r="BN194" s="224"/>
      <c r="BO194" s="224"/>
      <c r="BP194" s="224"/>
      <c r="BQ194" s="224"/>
      <c r="BR194" s="224"/>
      <c r="BS194" s="224"/>
      <c r="BT194" s="224"/>
      <c r="BU194" s="224"/>
      <c r="BV194" s="224"/>
      <c r="BW194" s="224"/>
      <c r="BX194" s="224"/>
      <c r="BY194" s="224"/>
      <c r="BZ194" s="224"/>
      <c r="CA194" s="224"/>
      <c r="CB194" s="224"/>
      <c r="CC194" s="224"/>
      <c r="CD194" s="224"/>
      <c r="CE194" s="224"/>
      <c r="CF194" s="224"/>
      <c r="CG194" s="224"/>
      <c r="CH194" s="224"/>
    </row>
    <row r="195" spans="1:86" s="1" customFormat="1" ht="18" hidden="1" customHeight="1">
      <c r="A195" s="614"/>
      <c r="B195" s="644"/>
      <c r="C195" s="194"/>
      <c r="D195" s="195"/>
      <c r="E195" s="196"/>
      <c r="F195" s="197"/>
      <c r="G195" s="617"/>
      <c r="H195" s="112"/>
      <c r="I195" s="109"/>
      <c r="J195" s="111"/>
      <c r="K195" s="58"/>
      <c r="L195" s="617"/>
      <c r="M195" s="112"/>
      <c r="N195" s="109"/>
      <c r="O195" s="111"/>
      <c r="P195" s="58"/>
      <c r="Q195" s="617"/>
      <c r="R195" s="112"/>
      <c r="S195" s="109"/>
      <c r="T195" s="111"/>
      <c r="U195" s="58"/>
      <c r="V195" s="617"/>
      <c r="W195" s="112"/>
      <c r="X195" s="109"/>
      <c r="Y195" s="111"/>
      <c r="Z195" s="58"/>
      <c r="AA195" s="617"/>
      <c r="AB195" s="112"/>
      <c r="AC195" s="109"/>
      <c r="AD195" s="111"/>
      <c r="AE195" s="58"/>
      <c r="AF195" s="644"/>
      <c r="AG195" s="198"/>
      <c r="AH195" s="199"/>
      <c r="AI195" s="200"/>
      <c r="AJ195" s="197"/>
      <c r="AK195" s="91"/>
      <c r="AL195"/>
      <c r="AM195"/>
      <c r="AN195"/>
      <c r="AO195"/>
      <c r="AP195"/>
      <c r="AQ195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4"/>
      <c r="BN195" s="224"/>
      <c r="BO195" s="224"/>
      <c r="BP195" s="224"/>
      <c r="BQ195" s="224"/>
      <c r="BR195" s="224"/>
      <c r="BS195" s="224"/>
      <c r="BT195" s="224"/>
      <c r="BU195" s="224"/>
      <c r="BV195" s="224"/>
      <c r="BW195" s="224"/>
      <c r="BX195" s="224"/>
      <c r="BY195" s="224"/>
      <c r="BZ195" s="224"/>
      <c r="CA195" s="224"/>
      <c r="CB195" s="224"/>
      <c r="CC195" s="224"/>
      <c r="CD195" s="224"/>
      <c r="CE195" s="224"/>
      <c r="CF195" s="224"/>
      <c r="CG195" s="224"/>
      <c r="CH195" s="224"/>
    </row>
    <row r="196" spans="1:86" s="1" customFormat="1" ht="18" hidden="1" customHeight="1">
      <c r="A196" s="614"/>
      <c r="B196" s="644"/>
      <c r="C196" s="194"/>
      <c r="D196" s="195"/>
      <c r="E196" s="196"/>
      <c r="F196" s="197"/>
      <c r="G196" s="617"/>
      <c r="H196" s="112"/>
      <c r="I196" s="109"/>
      <c r="J196" s="111"/>
      <c r="K196" s="58"/>
      <c r="L196" s="617"/>
      <c r="M196" s="112"/>
      <c r="N196" s="109"/>
      <c r="O196" s="111"/>
      <c r="P196" s="58"/>
      <c r="Q196" s="617"/>
      <c r="R196" s="112"/>
      <c r="S196" s="109"/>
      <c r="T196" s="111"/>
      <c r="U196" s="58"/>
      <c r="V196" s="617"/>
      <c r="W196" s="112"/>
      <c r="X196" s="109"/>
      <c r="Y196" s="111"/>
      <c r="Z196" s="58"/>
      <c r="AA196" s="617"/>
      <c r="AB196" s="112"/>
      <c r="AC196" s="109"/>
      <c r="AD196" s="111"/>
      <c r="AE196" s="58"/>
      <c r="AF196" s="644"/>
      <c r="AG196" s="198"/>
      <c r="AH196" s="199"/>
      <c r="AI196" s="200"/>
      <c r="AJ196" s="197"/>
      <c r="AK196" s="91"/>
      <c r="AL196"/>
      <c r="AM196"/>
      <c r="AN196"/>
      <c r="AO196"/>
      <c r="AP196"/>
      <c r="AQ196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4"/>
      <c r="BN196" s="224"/>
      <c r="BO196" s="224"/>
      <c r="BP196" s="224"/>
      <c r="BQ196" s="224"/>
      <c r="BR196" s="224"/>
      <c r="BS196" s="224"/>
      <c r="BT196" s="224"/>
      <c r="BU196" s="224"/>
      <c r="BV196" s="224"/>
      <c r="BW196" s="224"/>
      <c r="BX196" s="224"/>
      <c r="BY196" s="224"/>
      <c r="BZ196" s="224"/>
      <c r="CA196" s="224"/>
      <c r="CB196" s="224"/>
      <c r="CC196" s="224"/>
      <c r="CD196" s="224"/>
      <c r="CE196" s="224"/>
      <c r="CF196" s="224"/>
      <c r="CG196" s="224"/>
      <c r="CH196" s="224"/>
    </row>
    <row r="197" spans="1:86" s="1" customFormat="1" ht="18" hidden="1" customHeight="1">
      <c r="A197" s="614"/>
      <c r="B197" s="644"/>
      <c r="C197" s="194"/>
      <c r="D197" s="195"/>
      <c r="E197" s="196"/>
      <c r="F197" s="197"/>
      <c r="G197" s="617"/>
      <c r="H197" s="112"/>
      <c r="I197" s="109"/>
      <c r="J197" s="111"/>
      <c r="K197" s="58"/>
      <c r="L197" s="617"/>
      <c r="M197" s="112"/>
      <c r="N197" s="109"/>
      <c r="O197" s="111"/>
      <c r="P197" s="58"/>
      <c r="Q197" s="617"/>
      <c r="R197" s="112"/>
      <c r="S197" s="109"/>
      <c r="T197" s="111"/>
      <c r="U197" s="58"/>
      <c r="V197" s="617"/>
      <c r="W197" s="112"/>
      <c r="X197" s="109"/>
      <c r="Y197" s="111"/>
      <c r="Z197" s="58"/>
      <c r="AA197" s="617"/>
      <c r="AB197" s="112"/>
      <c r="AC197" s="109"/>
      <c r="AD197" s="111"/>
      <c r="AE197" s="58"/>
      <c r="AF197" s="644"/>
      <c r="AG197" s="198"/>
      <c r="AH197" s="199"/>
      <c r="AI197" s="200"/>
      <c r="AJ197" s="197"/>
      <c r="AK197" s="91"/>
      <c r="AL197"/>
      <c r="AM197"/>
      <c r="AN197"/>
      <c r="AO197"/>
      <c r="AP197"/>
      <c r="AQ197"/>
      <c r="AR197" s="224"/>
      <c r="AS197" s="224"/>
      <c r="AT197" s="224"/>
      <c r="AU197" s="224"/>
      <c r="AV197" s="224"/>
      <c r="AW197" s="224"/>
      <c r="AX197" s="224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4"/>
      <c r="BN197" s="224"/>
      <c r="BO197" s="224"/>
      <c r="BP197" s="224"/>
      <c r="BQ197" s="224"/>
      <c r="BR197" s="224"/>
      <c r="BS197" s="224"/>
      <c r="BT197" s="224"/>
      <c r="BU197" s="224"/>
      <c r="BV197" s="224"/>
      <c r="BW197" s="224"/>
      <c r="BX197" s="224"/>
      <c r="BY197" s="224"/>
      <c r="BZ197" s="224"/>
      <c r="CA197" s="224"/>
      <c r="CB197" s="224"/>
      <c r="CC197" s="224"/>
      <c r="CD197" s="224"/>
      <c r="CE197" s="224"/>
      <c r="CF197" s="224"/>
      <c r="CG197" s="224"/>
      <c r="CH197" s="224"/>
    </row>
    <row r="198" spans="1:86" s="1" customFormat="1" ht="18" hidden="1" customHeight="1">
      <c r="A198" s="615"/>
      <c r="B198" s="645"/>
      <c r="C198" s="201"/>
      <c r="D198" s="202"/>
      <c r="E198" s="203"/>
      <c r="F198" s="204"/>
      <c r="G198" s="618"/>
      <c r="H198" s="112"/>
      <c r="I198" s="109"/>
      <c r="J198" s="111"/>
      <c r="K198" s="58"/>
      <c r="L198" s="618"/>
      <c r="M198" s="112"/>
      <c r="N198" s="109"/>
      <c r="O198" s="111"/>
      <c r="P198" s="58"/>
      <c r="Q198" s="618"/>
      <c r="R198" s="112"/>
      <c r="S198" s="109"/>
      <c r="T198" s="111"/>
      <c r="U198" s="58"/>
      <c r="V198" s="618"/>
      <c r="W198" s="112"/>
      <c r="X198" s="109"/>
      <c r="Y198" s="111"/>
      <c r="Z198" s="58"/>
      <c r="AA198" s="618"/>
      <c r="AB198" s="112"/>
      <c r="AC198" s="109"/>
      <c r="AD198" s="111"/>
      <c r="AE198" s="58"/>
      <c r="AF198" s="645"/>
      <c r="AG198" s="205"/>
      <c r="AH198" s="206"/>
      <c r="AI198" s="207"/>
      <c r="AJ198" s="204"/>
      <c r="AK198" s="91"/>
      <c r="AL198"/>
      <c r="AM198"/>
      <c r="AN198"/>
      <c r="AO198"/>
      <c r="AP198"/>
      <c r="AQ198"/>
      <c r="AR198" s="224"/>
      <c r="AS198" s="224"/>
      <c r="AT198" s="224"/>
      <c r="AU198" s="224"/>
      <c r="AV198" s="224"/>
      <c r="AW198" s="224"/>
      <c r="AX198" s="224"/>
      <c r="AY198" s="224"/>
      <c r="AZ198" s="224"/>
      <c r="BA198" s="224"/>
      <c r="BB198" s="224"/>
      <c r="BC198" s="224"/>
      <c r="BD198" s="224"/>
      <c r="BE198" s="224"/>
      <c r="BF198" s="224"/>
      <c r="BG198" s="224"/>
      <c r="BH198" s="224"/>
      <c r="BI198" s="224"/>
      <c r="BJ198" s="224"/>
      <c r="BK198" s="224"/>
      <c r="BL198" s="224"/>
      <c r="BM198" s="224"/>
      <c r="BN198" s="224"/>
      <c r="BO198" s="224"/>
      <c r="BP198" s="224"/>
      <c r="BQ198" s="224"/>
      <c r="BR198" s="224"/>
      <c r="BS198" s="224"/>
      <c r="BT198" s="224"/>
      <c r="BU198" s="224"/>
      <c r="BV198" s="224"/>
      <c r="BW198" s="224"/>
      <c r="BX198" s="224"/>
      <c r="BY198" s="224"/>
      <c r="BZ198" s="224"/>
      <c r="CA198" s="224"/>
      <c r="CB198" s="224"/>
      <c r="CC198" s="224"/>
      <c r="CD198" s="224"/>
      <c r="CE198" s="224"/>
      <c r="CF198" s="224"/>
      <c r="CG198" s="224"/>
      <c r="CH198" s="224"/>
    </row>
    <row r="199" spans="1:86" s="1" customFormat="1" ht="18" customHeight="1">
      <c r="A199" s="613" t="s">
        <v>58</v>
      </c>
      <c r="B199" s="643"/>
      <c r="C199" s="187"/>
      <c r="D199" s="188"/>
      <c r="E199" s="189"/>
      <c r="F199" s="190"/>
      <c r="G199" s="608"/>
      <c r="H199" s="285"/>
      <c r="I199" s="282"/>
      <c r="J199" s="283"/>
      <c r="K199" s="284"/>
      <c r="L199" s="605"/>
      <c r="M199" s="285"/>
      <c r="N199" s="282"/>
      <c r="O199" s="283"/>
      <c r="P199" s="284"/>
      <c r="Q199" s="605"/>
      <c r="R199" s="285"/>
      <c r="S199" s="282"/>
      <c r="T199" s="283"/>
      <c r="U199" s="284"/>
      <c r="V199" s="605"/>
      <c r="W199" s="285"/>
      <c r="X199" s="282"/>
      <c r="Y199" s="283"/>
      <c r="Z199" s="284"/>
      <c r="AA199" s="605"/>
      <c r="AB199" s="285"/>
      <c r="AC199" s="282"/>
      <c r="AD199" s="283"/>
      <c r="AE199" s="284"/>
      <c r="AF199" s="654"/>
      <c r="AG199" s="11"/>
      <c r="AH199" s="9"/>
      <c r="AI199" s="56"/>
      <c r="AJ199" s="34"/>
      <c r="AK199" s="91"/>
      <c r="AL199"/>
      <c r="AM199"/>
      <c r="AN199"/>
      <c r="AO199"/>
      <c r="AP199"/>
      <c r="AQ199"/>
      <c r="AR199" s="224"/>
      <c r="AS199" s="224"/>
      <c r="AT199" s="224"/>
      <c r="AU199" s="224"/>
      <c r="AV199" s="224"/>
      <c r="AW199" s="224"/>
      <c r="AX199" s="224"/>
      <c r="AY199" s="224"/>
      <c r="AZ199" s="224"/>
      <c r="BA199" s="224"/>
      <c r="BB199" s="224"/>
      <c r="BC199" s="224"/>
      <c r="BD199" s="224"/>
      <c r="BE199" s="224"/>
      <c r="BF199" s="224"/>
      <c r="BG199" s="224"/>
      <c r="BH199" s="224"/>
      <c r="BI199" s="224"/>
      <c r="BJ199" s="224"/>
      <c r="BK199" s="224"/>
      <c r="BL199" s="224"/>
      <c r="BM199" s="224"/>
      <c r="BN199" s="224"/>
      <c r="BO199" s="224"/>
      <c r="BP199" s="224"/>
      <c r="BQ199" s="224"/>
      <c r="BR199" s="224"/>
      <c r="BS199" s="224"/>
      <c r="BT199" s="224"/>
      <c r="BU199" s="224"/>
      <c r="BV199" s="224"/>
      <c r="BW199" s="224"/>
      <c r="BX199" s="224"/>
      <c r="BY199" s="224"/>
      <c r="BZ199" s="224"/>
      <c r="CA199" s="224"/>
      <c r="CB199" s="224"/>
      <c r="CC199" s="224"/>
      <c r="CD199" s="224"/>
      <c r="CE199" s="224"/>
      <c r="CF199" s="224"/>
      <c r="CG199" s="224"/>
      <c r="CH199" s="224"/>
    </row>
    <row r="200" spans="1:86" s="1" customFormat="1" ht="18" customHeight="1">
      <c r="A200" s="614"/>
      <c r="B200" s="644"/>
      <c r="C200" s="194"/>
      <c r="D200" s="195"/>
      <c r="E200" s="196"/>
      <c r="F200" s="197"/>
      <c r="G200" s="609"/>
      <c r="H200" s="289"/>
      <c r="I200" s="286"/>
      <c r="J200" s="287"/>
      <c r="K200" s="288"/>
      <c r="L200" s="606"/>
      <c r="M200" s="289"/>
      <c r="N200" s="286"/>
      <c r="O200" s="287"/>
      <c r="P200" s="288"/>
      <c r="Q200" s="606"/>
      <c r="R200" s="289"/>
      <c r="S200" s="286"/>
      <c r="T200" s="287"/>
      <c r="U200" s="288"/>
      <c r="V200" s="606"/>
      <c r="W200" s="289"/>
      <c r="X200" s="286"/>
      <c r="Y200" s="287"/>
      <c r="Z200" s="288"/>
      <c r="AA200" s="606"/>
      <c r="AB200" s="289"/>
      <c r="AC200" s="286"/>
      <c r="AD200" s="287"/>
      <c r="AE200" s="288"/>
      <c r="AF200" s="655"/>
      <c r="AG200" s="12"/>
      <c r="AH200" s="13"/>
      <c r="AI200" s="57"/>
      <c r="AJ200" s="58"/>
      <c r="AK200" s="91"/>
      <c r="AL200"/>
      <c r="AM200"/>
      <c r="AN200"/>
      <c r="AO200"/>
      <c r="AP200"/>
      <c r="AQ200"/>
      <c r="AR200" s="224"/>
      <c r="AS200" s="224"/>
      <c r="AT200" s="224"/>
      <c r="AU200" s="224"/>
      <c r="AV200" s="224"/>
      <c r="AW200" s="224"/>
      <c r="AX200" s="224"/>
      <c r="AY200" s="224"/>
      <c r="AZ200" s="224"/>
      <c r="BA200" s="224"/>
      <c r="BB200" s="224"/>
      <c r="BC200" s="224"/>
      <c r="BD200" s="224"/>
      <c r="BE200" s="224"/>
      <c r="BF200" s="224"/>
      <c r="BG200" s="224"/>
      <c r="BH200" s="224"/>
      <c r="BI200" s="224"/>
      <c r="BJ200" s="224"/>
      <c r="BK200" s="224"/>
      <c r="BL200" s="224"/>
      <c r="BM200" s="224"/>
      <c r="BN200" s="224"/>
      <c r="BO200" s="224"/>
      <c r="BP200" s="224"/>
      <c r="BQ200" s="224"/>
      <c r="BR200" s="224"/>
      <c r="BS200" s="224"/>
      <c r="BT200" s="224"/>
      <c r="BU200" s="224"/>
      <c r="BV200" s="224"/>
      <c r="BW200" s="224"/>
      <c r="BX200" s="224"/>
      <c r="BY200" s="224"/>
      <c r="BZ200" s="224"/>
      <c r="CA200" s="224"/>
      <c r="CB200" s="224"/>
      <c r="CC200" s="224"/>
      <c r="CD200" s="224"/>
      <c r="CE200" s="224"/>
      <c r="CF200" s="224"/>
      <c r="CG200" s="224"/>
      <c r="CH200" s="224"/>
    </row>
    <row r="201" spans="1:86" s="1" customFormat="1" ht="18" customHeight="1">
      <c r="A201" s="614"/>
      <c r="B201" s="644"/>
      <c r="C201" s="194"/>
      <c r="D201" s="195"/>
      <c r="E201" s="196"/>
      <c r="F201" s="197"/>
      <c r="G201" s="609"/>
      <c r="H201" s="289"/>
      <c r="I201" s="286"/>
      <c r="J201" s="287"/>
      <c r="K201" s="288"/>
      <c r="L201" s="606"/>
      <c r="M201" s="289"/>
      <c r="N201" s="286"/>
      <c r="O201" s="287"/>
      <c r="P201" s="288"/>
      <c r="Q201" s="606"/>
      <c r="R201" s="289"/>
      <c r="S201" s="286"/>
      <c r="T201" s="287"/>
      <c r="U201" s="288"/>
      <c r="V201" s="606"/>
      <c r="W201" s="289"/>
      <c r="X201" s="286"/>
      <c r="Y201" s="287"/>
      <c r="Z201" s="288"/>
      <c r="AA201" s="606"/>
      <c r="AB201" s="289"/>
      <c r="AC201" s="286"/>
      <c r="AD201" s="287"/>
      <c r="AE201" s="288"/>
      <c r="AF201" s="655"/>
      <c r="AG201" s="12"/>
      <c r="AH201" s="13"/>
      <c r="AI201" s="57"/>
      <c r="AJ201" s="58"/>
      <c r="AK201" s="91"/>
      <c r="AL201"/>
      <c r="AM201"/>
      <c r="AN201"/>
      <c r="AO201"/>
      <c r="AP201"/>
      <c r="AQ201"/>
      <c r="AR201" s="224"/>
      <c r="AS201" s="224"/>
      <c r="AT201" s="224"/>
      <c r="AU201" s="224"/>
      <c r="AV201" s="224"/>
      <c r="AW201" s="224"/>
      <c r="AX201" s="224"/>
      <c r="AY201" s="224"/>
      <c r="AZ201" s="224"/>
      <c r="BA201" s="224"/>
      <c r="BB201" s="224"/>
      <c r="BC201" s="224"/>
      <c r="BD201" s="224"/>
      <c r="BE201" s="224"/>
      <c r="BF201" s="224"/>
      <c r="BG201" s="224"/>
      <c r="BH201" s="224"/>
      <c r="BI201" s="224"/>
      <c r="BJ201" s="224"/>
      <c r="BK201" s="224"/>
      <c r="BL201" s="224"/>
      <c r="BM201" s="224"/>
      <c r="BN201" s="224"/>
      <c r="BO201" s="224"/>
      <c r="BP201" s="224"/>
      <c r="BQ201" s="224"/>
      <c r="BR201" s="224"/>
      <c r="BS201" s="224"/>
      <c r="BT201" s="224"/>
      <c r="BU201" s="224"/>
      <c r="BV201" s="224"/>
      <c r="BW201" s="224"/>
      <c r="BX201" s="224"/>
      <c r="BY201" s="224"/>
      <c r="BZ201" s="224"/>
      <c r="CA201" s="224"/>
      <c r="CB201" s="224"/>
      <c r="CC201" s="224"/>
      <c r="CD201" s="224"/>
      <c r="CE201" s="224"/>
      <c r="CF201" s="224"/>
      <c r="CG201" s="224"/>
      <c r="CH201" s="224"/>
    </row>
    <row r="202" spans="1:86" s="1" customFormat="1" ht="18" customHeight="1">
      <c r="A202" s="614"/>
      <c r="B202" s="644"/>
      <c r="C202" s="194"/>
      <c r="D202" s="195"/>
      <c r="E202" s="196"/>
      <c r="F202" s="197"/>
      <c r="G202" s="609"/>
      <c r="H202" s="289"/>
      <c r="I202" s="286"/>
      <c r="J202" s="287"/>
      <c r="K202" s="288"/>
      <c r="L202" s="606"/>
      <c r="M202" s="289"/>
      <c r="N202" s="286"/>
      <c r="O202" s="287"/>
      <c r="P202" s="317"/>
      <c r="Q202" s="606"/>
      <c r="R202" s="289"/>
      <c r="S202" s="286"/>
      <c r="T202" s="287"/>
      <c r="U202" s="288"/>
      <c r="V202" s="606"/>
      <c r="W202" s="289"/>
      <c r="X202" s="286"/>
      <c r="Y202" s="287"/>
      <c r="Z202" s="288"/>
      <c r="AA202" s="606"/>
      <c r="AB202" s="324"/>
      <c r="AC202" s="286"/>
      <c r="AD202" s="287"/>
      <c r="AE202" s="288"/>
      <c r="AF202" s="655"/>
      <c r="AG202" s="12"/>
      <c r="AH202" s="13"/>
      <c r="AI202" s="57"/>
      <c r="AJ202" s="58"/>
      <c r="AK202" s="91"/>
      <c r="AL202"/>
      <c r="AM202"/>
      <c r="AN202"/>
      <c r="AO202"/>
      <c r="AP202"/>
      <c r="AQ202"/>
      <c r="AR202" s="224"/>
      <c r="AS202" s="224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4"/>
      <c r="BN202" s="224"/>
      <c r="BO202" s="224"/>
      <c r="BP202" s="224"/>
      <c r="BQ202" s="224"/>
      <c r="BR202" s="224"/>
      <c r="BS202" s="224"/>
      <c r="BT202" s="224"/>
      <c r="BU202" s="224"/>
      <c r="BV202" s="224"/>
      <c r="BW202" s="224"/>
      <c r="BX202" s="224"/>
      <c r="BY202" s="224"/>
      <c r="BZ202" s="224"/>
      <c r="CA202" s="224"/>
      <c r="CB202" s="224"/>
      <c r="CC202" s="224"/>
      <c r="CD202" s="224"/>
      <c r="CE202" s="224"/>
      <c r="CF202" s="224"/>
      <c r="CG202" s="224"/>
      <c r="CH202" s="224"/>
    </row>
    <row r="203" spans="1:86" s="1" customFormat="1" ht="18" customHeight="1">
      <c r="A203" s="614"/>
      <c r="B203" s="644"/>
      <c r="C203" s="194"/>
      <c r="D203" s="195"/>
      <c r="E203" s="196"/>
      <c r="F203" s="197"/>
      <c r="G203" s="609"/>
      <c r="H203" s="289"/>
      <c r="I203" s="286"/>
      <c r="J203" s="287"/>
      <c r="K203" s="288"/>
      <c r="L203" s="606"/>
      <c r="M203" s="289"/>
      <c r="N203" s="286"/>
      <c r="O203" s="287"/>
      <c r="P203" s="288"/>
      <c r="Q203" s="606"/>
      <c r="R203" s="289"/>
      <c r="S203" s="286"/>
      <c r="T203" s="287"/>
      <c r="U203" s="306"/>
      <c r="V203" s="606"/>
      <c r="W203" s="289"/>
      <c r="X203" s="286"/>
      <c r="Y203" s="287"/>
      <c r="Z203" s="288"/>
      <c r="AA203" s="606"/>
      <c r="AB203" s="289"/>
      <c r="AC203" s="286"/>
      <c r="AD203" s="287"/>
      <c r="AE203" s="288"/>
      <c r="AF203" s="655"/>
      <c r="AG203" s="12"/>
      <c r="AH203" s="13"/>
      <c r="AI203" s="57"/>
      <c r="AJ203" s="58"/>
      <c r="AK203" s="91"/>
      <c r="AL203"/>
      <c r="AM203"/>
      <c r="AN203"/>
      <c r="AO203"/>
      <c r="AP203"/>
      <c r="AQ203"/>
      <c r="AR203" s="224"/>
      <c r="AS203" s="224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4"/>
      <c r="BN203" s="224"/>
      <c r="BO203" s="224"/>
      <c r="BP203" s="224"/>
      <c r="BQ203" s="224"/>
      <c r="BR203" s="224"/>
      <c r="BS203" s="224"/>
      <c r="BT203" s="224"/>
      <c r="BU203" s="224"/>
      <c r="BV203" s="224"/>
      <c r="BW203" s="224"/>
      <c r="BX203" s="224"/>
      <c r="BY203" s="224"/>
      <c r="BZ203" s="224"/>
      <c r="CA203" s="224"/>
      <c r="CB203" s="224"/>
      <c r="CC203" s="224"/>
      <c r="CD203" s="224"/>
      <c r="CE203" s="224"/>
      <c r="CF203" s="224"/>
      <c r="CG203" s="224"/>
      <c r="CH203" s="224"/>
    </row>
    <row r="204" spans="1:86" s="1" customFormat="1" ht="18" customHeight="1">
      <c r="A204" s="614"/>
      <c r="B204" s="644"/>
      <c r="C204" s="194"/>
      <c r="D204" s="195"/>
      <c r="E204" s="196"/>
      <c r="F204" s="197"/>
      <c r="G204" s="609"/>
      <c r="H204" s="289"/>
      <c r="I204" s="286"/>
      <c r="J204" s="287"/>
      <c r="K204" s="288"/>
      <c r="L204" s="606"/>
      <c r="M204" s="289"/>
      <c r="N204" s="286"/>
      <c r="O204" s="287"/>
      <c r="P204" s="288"/>
      <c r="Q204" s="606"/>
      <c r="R204" s="289"/>
      <c r="S204" s="286"/>
      <c r="T204" s="287"/>
      <c r="U204" s="288"/>
      <c r="V204" s="606"/>
      <c r="W204" s="289"/>
      <c r="X204" s="286"/>
      <c r="Y204" s="287"/>
      <c r="Z204" s="288"/>
      <c r="AA204" s="606"/>
      <c r="AB204" s="289"/>
      <c r="AC204" s="286"/>
      <c r="AD204" s="287"/>
      <c r="AE204" s="288"/>
      <c r="AF204" s="655"/>
      <c r="AG204" s="12"/>
      <c r="AH204" s="13"/>
      <c r="AI204" s="57"/>
      <c r="AJ204" s="58"/>
      <c r="AK204" s="91"/>
      <c r="AL204"/>
      <c r="AM204"/>
      <c r="AN204"/>
      <c r="AO204"/>
      <c r="AP204"/>
      <c r="AQ20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4"/>
      <c r="BN204" s="224"/>
      <c r="BO204" s="224"/>
      <c r="BP204" s="224"/>
      <c r="BQ204" s="224"/>
      <c r="BR204" s="224"/>
      <c r="BS204" s="224"/>
      <c r="BT204" s="224"/>
      <c r="BU204" s="224"/>
      <c r="BV204" s="224"/>
      <c r="BW204" s="224"/>
      <c r="BX204" s="224"/>
      <c r="BY204" s="224"/>
      <c r="BZ204" s="224"/>
      <c r="CA204" s="224"/>
      <c r="CB204" s="224"/>
      <c r="CC204" s="224"/>
      <c r="CD204" s="224"/>
      <c r="CE204" s="224"/>
      <c r="CF204" s="224"/>
      <c r="CG204" s="224"/>
      <c r="CH204" s="224"/>
    </row>
    <row r="205" spans="1:86" s="1" customFormat="1" ht="18" customHeight="1">
      <c r="A205" s="614"/>
      <c r="B205" s="644"/>
      <c r="C205" s="194"/>
      <c r="D205" s="195"/>
      <c r="E205" s="196"/>
      <c r="F205" s="197"/>
      <c r="G205" s="609"/>
      <c r="H205" s="289"/>
      <c r="I205" s="286"/>
      <c r="J205" s="287"/>
      <c r="K205" s="288"/>
      <c r="L205" s="606"/>
      <c r="M205" s="289"/>
      <c r="N205" s="286"/>
      <c r="O205" s="287"/>
      <c r="P205" s="288"/>
      <c r="Q205" s="606"/>
      <c r="R205" s="289"/>
      <c r="S205" s="286"/>
      <c r="T205" s="287"/>
      <c r="U205" s="288"/>
      <c r="V205" s="606"/>
      <c r="W205" s="289"/>
      <c r="X205" s="286"/>
      <c r="Y205" s="287"/>
      <c r="Z205" s="288"/>
      <c r="AA205" s="606"/>
      <c r="AB205" s="289"/>
      <c r="AC205" s="286"/>
      <c r="AD205" s="287"/>
      <c r="AE205" s="288"/>
      <c r="AF205" s="655"/>
      <c r="AG205" s="12"/>
      <c r="AH205" s="13"/>
      <c r="AI205" s="57"/>
      <c r="AJ205" s="58"/>
      <c r="AK205" s="91"/>
      <c r="AL205"/>
      <c r="AM205"/>
      <c r="AN205"/>
      <c r="AO205"/>
      <c r="AP205"/>
      <c r="AQ205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4"/>
      <c r="BN205" s="224"/>
      <c r="BO205" s="224"/>
      <c r="BP205" s="224"/>
      <c r="BQ205" s="224"/>
      <c r="BR205" s="224"/>
      <c r="BS205" s="224"/>
      <c r="BT205" s="224"/>
      <c r="BU205" s="224"/>
      <c r="BV205" s="224"/>
      <c r="BW205" s="224"/>
      <c r="BX205" s="224"/>
      <c r="BY205" s="224"/>
      <c r="BZ205" s="224"/>
      <c r="CA205" s="224"/>
      <c r="CB205" s="224"/>
      <c r="CC205" s="224"/>
      <c r="CD205" s="224"/>
      <c r="CE205" s="224"/>
      <c r="CF205" s="224"/>
      <c r="CG205" s="224"/>
      <c r="CH205" s="224"/>
    </row>
    <row r="206" spans="1:86" s="1" customFormat="1" ht="18" customHeight="1" thickBot="1">
      <c r="A206" s="614"/>
      <c r="B206" s="644"/>
      <c r="C206" s="194"/>
      <c r="D206" s="195"/>
      <c r="E206" s="196"/>
      <c r="F206" s="197"/>
      <c r="G206" s="609"/>
      <c r="H206" s="311"/>
      <c r="I206" s="290"/>
      <c r="J206" s="287"/>
      <c r="K206" s="291"/>
      <c r="L206" s="606"/>
      <c r="M206" s="311"/>
      <c r="N206" s="290"/>
      <c r="O206" s="287"/>
      <c r="P206" s="288"/>
      <c r="Q206" s="606"/>
      <c r="R206" s="311"/>
      <c r="S206" s="290"/>
      <c r="T206" s="287"/>
      <c r="U206" s="288"/>
      <c r="V206" s="606"/>
      <c r="W206" s="311"/>
      <c r="X206" s="290"/>
      <c r="Y206" s="287"/>
      <c r="Z206" s="288"/>
      <c r="AA206" s="606"/>
      <c r="AB206" s="311"/>
      <c r="AC206" s="290"/>
      <c r="AD206" s="287"/>
      <c r="AE206" s="288"/>
      <c r="AF206" s="655"/>
      <c r="AG206" s="15"/>
      <c r="AH206" s="14"/>
      <c r="AI206" s="57"/>
      <c r="AJ206" s="58"/>
      <c r="AK206" s="91"/>
      <c r="AL206"/>
      <c r="AM206"/>
      <c r="AN206"/>
      <c r="AO206"/>
      <c r="AP206"/>
      <c r="AQ206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4"/>
      <c r="BN206" s="224"/>
      <c r="BO206" s="224"/>
      <c r="BP206" s="224"/>
      <c r="BQ206" s="224"/>
      <c r="BR206" s="224"/>
      <c r="BS206" s="224"/>
      <c r="BT206" s="224"/>
      <c r="BU206" s="224"/>
      <c r="BV206" s="224"/>
      <c r="BW206" s="224"/>
      <c r="BX206" s="224"/>
      <c r="BY206" s="224"/>
      <c r="BZ206" s="224"/>
      <c r="CA206" s="224"/>
      <c r="CB206" s="224"/>
      <c r="CC206" s="224"/>
      <c r="CD206" s="224"/>
      <c r="CE206" s="224"/>
      <c r="CF206" s="224"/>
      <c r="CG206" s="224"/>
      <c r="CH206" s="224"/>
    </row>
    <row r="207" spans="1:86" s="1" customFormat="1" ht="18" hidden="1" customHeight="1" thickBot="1">
      <c r="A207" s="614"/>
      <c r="B207" s="644"/>
      <c r="C207" s="194"/>
      <c r="D207" s="195"/>
      <c r="E207" s="196"/>
      <c r="F207" s="197"/>
      <c r="G207" s="606"/>
      <c r="H207" s="325"/>
      <c r="I207" s="296"/>
      <c r="J207" s="307"/>
      <c r="K207" s="298"/>
      <c r="L207" s="606"/>
      <c r="M207" s="312"/>
      <c r="N207" s="227"/>
      <c r="O207" s="308"/>
      <c r="P207" s="288"/>
      <c r="Q207" s="606"/>
      <c r="R207" s="313"/>
      <c r="S207" s="227"/>
      <c r="T207" s="308"/>
      <c r="U207" s="288"/>
      <c r="V207" s="606"/>
      <c r="W207" s="314"/>
      <c r="X207" s="294"/>
      <c r="Y207" s="295"/>
      <c r="Z207" s="288"/>
      <c r="AA207" s="606"/>
      <c r="AB207" s="289"/>
      <c r="AC207" s="292"/>
      <c r="AD207" s="293"/>
      <c r="AE207" s="297"/>
      <c r="AF207" s="655"/>
      <c r="AG207" s="12"/>
      <c r="AH207" s="13"/>
      <c r="AI207" s="67"/>
      <c r="AJ207" s="58"/>
      <c r="AK207" s="91"/>
      <c r="AL207"/>
      <c r="AM207"/>
      <c r="AN207"/>
      <c r="AO207"/>
      <c r="AP207"/>
      <c r="AQ207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4"/>
      <c r="BN207" s="224"/>
      <c r="BO207" s="224"/>
      <c r="BP207" s="224"/>
      <c r="BQ207" s="224"/>
      <c r="BR207" s="224"/>
      <c r="BS207" s="224"/>
      <c r="BT207" s="224"/>
      <c r="BU207" s="224"/>
      <c r="BV207" s="224"/>
      <c r="BW207" s="224"/>
      <c r="BX207" s="224"/>
      <c r="BY207" s="224"/>
      <c r="BZ207" s="224"/>
      <c r="CA207" s="224"/>
      <c r="CB207" s="224"/>
      <c r="CC207" s="224"/>
      <c r="CD207" s="224"/>
      <c r="CE207" s="224"/>
      <c r="CF207" s="224"/>
      <c r="CG207" s="224"/>
      <c r="CH207" s="224"/>
    </row>
    <row r="208" spans="1:86" s="1" customFormat="1" ht="18" hidden="1" customHeight="1">
      <c r="A208" s="614"/>
      <c r="B208" s="644"/>
      <c r="C208" s="194"/>
      <c r="D208" s="195"/>
      <c r="E208" s="196"/>
      <c r="F208" s="197"/>
      <c r="G208" s="606"/>
      <c r="H208" s="325"/>
      <c r="I208" s="296"/>
      <c r="J208" s="307"/>
      <c r="K208" s="298"/>
      <c r="L208" s="606"/>
      <c r="M208" s="312"/>
      <c r="N208" s="227"/>
      <c r="O208" s="308"/>
      <c r="P208" s="288"/>
      <c r="Q208" s="606"/>
      <c r="R208" s="313"/>
      <c r="S208" s="227"/>
      <c r="T208" s="308"/>
      <c r="U208" s="288"/>
      <c r="V208" s="606"/>
      <c r="W208" s="314"/>
      <c r="X208" s="294"/>
      <c r="Y208" s="295"/>
      <c r="Z208" s="288"/>
      <c r="AA208" s="606"/>
      <c r="AB208" s="289"/>
      <c r="AC208" s="292"/>
      <c r="AD208" s="293"/>
      <c r="AE208" s="297"/>
      <c r="AF208" s="655"/>
      <c r="AG208" s="12"/>
      <c r="AH208" s="13"/>
      <c r="AI208" s="67"/>
      <c r="AJ208" s="46"/>
      <c r="AK208" s="91"/>
      <c r="AL208"/>
      <c r="AM208"/>
      <c r="AN208"/>
      <c r="AO208"/>
      <c r="AP208"/>
      <c r="AQ208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4"/>
      <c r="BN208" s="224"/>
      <c r="BO208" s="224"/>
      <c r="BP208" s="224"/>
      <c r="BQ208" s="224"/>
      <c r="BR208" s="224"/>
      <c r="BS208" s="224"/>
      <c r="BT208" s="224"/>
      <c r="BU208" s="224"/>
      <c r="BV208" s="224"/>
      <c r="BW208" s="224"/>
      <c r="BX208" s="224"/>
      <c r="BY208" s="224"/>
      <c r="BZ208" s="224"/>
      <c r="CA208" s="224"/>
      <c r="CB208" s="224"/>
      <c r="CC208" s="224"/>
      <c r="CD208" s="224"/>
      <c r="CE208" s="224"/>
      <c r="CF208" s="224"/>
      <c r="CG208" s="224"/>
      <c r="CH208" s="224"/>
    </row>
    <row r="209" spans="1:86" s="1" customFormat="1" ht="18" hidden="1" customHeight="1">
      <c r="A209" s="614"/>
      <c r="B209" s="644"/>
      <c r="C209" s="194"/>
      <c r="D209" s="195"/>
      <c r="E209" s="196"/>
      <c r="F209" s="197"/>
      <c r="G209" s="606"/>
      <c r="H209" s="325"/>
      <c r="I209" s="296"/>
      <c r="J209" s="307"/>
      <c r="K209" s="298"/>
      <c r="L209" s="606"/>
      <c r="M209" s="312"/>
      <c r="N209" s="227"/>
      <c r="O209" s="308"/>
      <c r="P209" s="288"/>
      <c r="Q209" s="606"/>
      <c r="R209" s="313"/>
      <c r="S209" s="227"/>
      <c r="T209" s="308"/>
      <c r="U209" s="288"/>
      <c r="V209" s="606"/>
      <c r="W209" s="314"/>
      <c r="X209" s="294"/>
      <c r="Y209" s="295"/>
      <c r="Z209" s="288"/>
      <c r="AA209" s="606"/>
      <c r="AB209" s="289"/>
      <c r="AC209" s="292"/>
      <c r="AD209" s="293"/>
      <c r="AE209" s="297"/>
      <c r="AF209" s="655"/>
      <c r="AG209" s="12"/>
      <c r="AH209" s="13"/>
      <c r="AI209" s="67"/>
      <c r="AJ209" s="46"/>
      <c r="AK209" s="91"/>
      <c r="AL209"/>
      <c r="AM209"/>
      <c r="AN209"/>
      <c r="AO209"/>
      <c r="AP209"/>
      <c r="AQ209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4"/>
      <c r="BN209" s="224"/>
      <c r="BO209" s="224"/>
      <c r="BP209" s="224"/>
      <c r="BQ209" s="224"/>
      <c r="BR209" s="224"/>
      <c r="BS209" s="224"/>
      <c r="BT209" s="224"/>
      <c r="BU209" s="224"/>
      <c r="BV209" s="224"/>
      <c r="BW209" s="224"/>
      <c r="BX209" s="224"/>
      <c r="BY209" s="224"/>
      <c r="BZ209" s="224"/>
      <c r="CA209" s="224"/>
      <c r="CB209" s="224"/>
      <c r="CC209" s="224"/>
      <c r="CD209" s="224"/>
      <c r="CE209" s="224"/>
      <c r="CF209" s="224"/>
      <c r="CG209" s="224"/>
      <c r="CH209" s="224"/>
    </row>
    <row r="210" spans="1:86" s="1" customFormat="1" ht="18" hidden="1" customHeight="1">
      <c r="A210" s="614"/>
      <c r="B210" s="644"/>
      <c r="C210" s="194"/>
      <c r="D210" s="195"/>
      <c r="E210" s="196"/>
      <c r="F210" s="197"/>
      <c r="G210" s="606"/>
      <c r="H210" s="325"/>
      <c r="I210" s="296"/>
      <c r="J210" s="307"/>
      <c r="K210" s="298"/>
      <c r="L210" s="606"/>
      <c r="M210" s="312"/>
      <c r="N210" s="227"/>
      <c r="O210" s="308"/>
      <c r="P210" s="288"/>
      <c r="Q210" s="606"/>
      <c r="R210" s="313"/>
      <c r="S210" s="227"/>
      <c r="T210" s="308"/>
      <c r="U210" s="288"/>
      <c r="V210" s="606"/>
      <c r="W210" s="314"/>
      <c r="X210" s="294"/>
      <c r="Y210" s="295"/>
      <c r="Z210" s="288"/>
      <c r="AA210" s="606"/>
      <c r="AB210" s="289"/>
      <c r="AC210" s="292"/>
      <c r="AD210" s="293"/>
      <c r="AE210" s="297"/>
      <c r="AF210" s="655"/>
      <c r="AG210" s="12"/>
      <c r="AH210" s="13"/>
      <c r="AI210" s="67"/>
      <c r="AJ210" s="46"/>
      <c r="AK210" s="91"/>
      <c r="AL210"/>
      <c r="AM210"/>
      <c r="AN210"/>
      <c r="AO210"/>
      <c r="AP210"/>
      <c r="AQ210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  <c r="BP210" s="224"/>
      <c r="BQ210" s="224"/>
      <c r="BR210" s="224"/>
      <c r="BS210" s="224"/>
      <c r="BT210" s="224"/>
      <c r="BU210" s="224"/>
      <c r="BV210" s="224"/>
      <c r="BW210" s="224"/>
      <c r="BX210" s="224"/>
      <c r="BY210" s="224"/>
      <c r="BZ210" s="224"/>
      <c r="CA210" s="224"/>
      <c r="CB210" s="224"/>
      <c r="CC210" s="224"/>
      <c r="CD210" s="224"/>
      <c r="CE210" s="224"/>
      <c r="CF210" s="224"/>
      <c r="CG210" s="224"/>
      <c r="CH210" s="224"/>
    </row>
    <row r="211" spans="1:86" s="1" customFormat="1" ht="18" hidden="1" customHeight="1">
      <c r="A211" s="614"/>
      <c r="B211" s="644"/>
      <c r="C211" s="194"/>
      <c r="D211" s="195"/>
      <c r="E211" s="196"/>
      <c r="F211" s="197"/>
      <c r="G211" s="606"/>
      <c r="H211" s="325"/>
      <c r="I211" s="296"/>
      <c r="J211" s="307"/>
      <c r="K211" s="298"/>
      <c r="L211" s="606"/>
      <c r="M211" s="312"/>
      <c r="N211" s="227"/>
      <c r="O211" s="308"/>
      <c r="P211" s="288"/>
      <c r="Q211" s="606"/>
      <c r="R211" s="313"/>
      <c r="S211" s="227"/>
      <c r="T211" s="308"/>
      <c r="U211" s="288"/>
      <c r="V211" s="606"/>
      <c r="W211" s="314"/>
      <c r="X211" s="294"/>
      <c r="Y211" s="295"/>
      <c r="Z211" s="288"/>
      <c r="AA211" s="606"/>
      <c r="AB211" s="289"/>
      <c r="AC211" s="292"/>
      <c r="AD211" s="293"/>
      <c r="AE211" s="297"/>
      <c r="AF211" s="655"/>
      <c r="AG211" s="12"/>
      <c r="AH211" s="13"/>
      <c r="AI211" s="67"/>
      <c r="AJ211" s="46"/>
      <c r="AK211" s="91"/>
      <c r="AL211"/>
      <c r="AM211"/>
      <c r="AN211"/>
      <c r="AO211"/>
      <c r="AP211"/>
      <c r="AQ211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4"/>
      <c r="BN211" s="224"/>
      <c r="BO211" s="224"/>
      <c r="BP211" s="224"/>
      <c r="BQ211" s="224"/>
      <c r="BR211" s="224"/>
      <c r="BS211" s="224"/>
      <c r="BT211" s="224"/>
      <c r="BU211" s="224"/>
      <c r="BV211" s="224"/>
      <c r="BW211" s="224"/>
      <c r="BX211" s="224"/>
      <c r="BY211" s="224"/>
      <c r="BZ211" s="224"/>
      <c r="CA211" s="224"/>
      <c r="CB211" s="224"/>
      <c r="CC211" s="224"/>
      <c r="CD211" s="224"/>
      <c r="CE211" s="224"/>
      <c r="CF211" s="224"/>
      <c r="CG211" s="224"/>
      <c r="CH211" s="224"/>
    </row>
    <row r="212" spans="1:86" s="1" customFormat="1" ht="18" hidden="1" customHeight="1">
      <c r="A212" s="614"/>
      <c r="B212" s="644"/>
      <c r="C212" s="194"/>
      <c r="D212" s="195"/>
      <c r="E212" s="196"/>
      <c r="F212" s="197"/>
      <c r="G212" s="606"/>
      <c r="H212" s="325"/>
      <c r="I212" s="296"/>
      <c r="J212" s="307"/>
      <c r="K212" s="298"/>
      <c r="L212" s="606"/>
      <c r="M212" s="312"/>
      <c r="N212" s="227"/>
      <c r="O212" s="308"/>
      <c r="P212" s="288"/>
      <c r="Q212" s="606"/>
      <c r="R212" s="313"/>
      <c r="S212" s="227"/>
      <c r="T212" s="308"/>
      <c r="U212" s="288"/>
      <c r="V212" s="606"/>
      <c r="W212" s="314"/>
      <c r="X212" s="294"/>
      <c r="Y212" s="295"/>
      <c r="Z212" s="288"/>
      <c r="AA212" s="606"/>
      <c r="AB212" s="289"/>
      <c r="AC212" s="292"/>
      <c r="AD212" s="293"/>
      <c r="AE212" s="297"/>
      <c r="AF212" s="655"/>
      <c r="AG212" s="12"/>
      <c r="AH212" s="13"/>
      <c r="AI212" s="67"/>
      <c r="AJ212" s="46"/>
      <c r="AK212" s="91"/>
      <c r="AL212"/>
      <c r="AM212"/>
      <c r="AN212"/>
      <c r="AO212"/>
      <c r="AP212"/>
      <c r="AQ212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4"/>
      <c r="BN212" s="224"/>
      <c r="BO212" s="224"/>
      <c r="BP212" s="224"/>
      <c r="BQ212" s="224"/>
      <c r="BR212" s="224"/>
      <c r="BS212" s="224"/>
      <c r="BT212" s="224"/>
      <c r="BU212" s="224"/>
      <c r="BV212" s="224"/>
      <c r="BW212" s="224"/>
      <c r="BX212" s="224"/>
      <c r="BY212" s="224"/>
      <c r="BZ212" s="224"/>
      <c r="CA212" s="224"/>
      <c r="CB212" s="224"/>
      <c r="CC212" s="224"/>
      <c r="CD212" s="224"/>
      <c r="CE212" s="224"/>
      <c r="CF212" s="224"/>
      <c r="CG212" s="224"/>
      <c r="CH212" s="224"/>
    </row>
    <row r="213" spans="1:86" s="1" customFormat="1" ht="18" hidden="1" customHeight="1">
      <c r="A213" s="615"/>
      <c r="B213" s="644"/>
      <c r="C213" s="194"/>
      <c r="D213" s="195"/>
      <c r="E213" s="196"/>
      <c r="F213" s="197"/>
      <c r="G213" s="607"/>
      <c r="H213" s="326"/>
      <c r="I213" s="304"/>
      <c r="J213" s="309"/>
      <c r="K213" s="305"/>
      <c r="L213" s="607"/>
      <c r="M213" s="315"/>
      <c r="N213" s="138"/>
      <c r="O213" s="310"/>
      <c r="P213" s="291"/>
      <c r="Q213" s="607"/>
      <c r="R213" s="313"/>
      <c r="S213" s="227"/>
      <c r="T213" s="308"/>
      <c r="U213" s="288"/>
      <c r="V213" s="607"/>
      <c r="W213" s="316"/>
      <c r="X213" s="302"/>
      <c r="Y213" s="303"/>
      <c r="Z213" s="291"/>
      <c r="AA213" s="607"/>
      <c r="AB213" s="311"/>
      <c r="AC213" s="299"/>
      <c r="AD213" s="300"/>
      <c r="AE213" s="301"/>
      <c r="AF213" s="656"/>
      <c r="AG213" s="15"/>
      <c r="AH213" s="14"/>
      <c r="AI213" s="68"/>
      <c r="AJ213" s="41"/>
      <c r="AK213" s="91"/>
      <c r="AL213"/>
      <c r="AM213"/>
      <c r="AN213"/>
      <c r="AO213"/>
      <c r="AP213"/>
      <c r="AQ213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4"/>
      <c r="BN213" s="224"/>
      <c r="BO213" s="224"/>
      <c r="BP213" s="224"/>
      <c r="BQ213" s="224"/>
      <c r="BR213" s="224"/>
      <c r="BS213" s="224"/>
      <c r="BT213" s="224"/>
      <c r="BU213" s="224"/>
      <c r="BV213" s="224"/>
      <c r="BW213" s="224"/>
      <c r="BX213" s="224"/>
      <c r="BY213" s="224"/>
      <c r="BZ213" s="224"/>
      <c r="CA213" s="224"/>
      <c r="CB213" s="224"/>
      <c r="CC213" s="224"/>
      <c r="CD213" s="224"/>
      <c r="CE213" s="224"/>
      <c r="CF213" s="224"/>
      <c r="CG213" s="224"/>
      <c r="CH213" s="224"/>
    </row>
    <row r="214" spans="1:86" s="1" customFormat="1" ht="18" customHeight="1">
      <c r="A214" s="514" t="s">
        <v>59</v>
      </c>
      <c r="B214" s="159"/>
      <c r="C214" s="160"/>
      <c r="D214" s="161"/>
      <c r="E214" s="162"/>
      <c r="F214" s="163"/>
      <c r="G214" s="148" t="s">
        <v>148</v>
      </c>
      <c r="H214" s="151" t="s">
        <v>179</v>
      </c>
      <c r="I214" s="216"/>
      <c r="J214" s="151">
        <v>1860</v>
      </c>
      <c r="K214" s="152" t="s">
        <v>10</v>
      </c>
      <c r="L214" s="148" t="s">
        <v>89</v>
      </c>
      <c r="M214" s="164" t="s">
        <v>90</v>
      </c>
      <c r="N214" s="216"/>
      <c r="O214" s="151">
        <v>1529</v>
      </c>
      <c r="P214" s="152" t="s">
        <v>10</v>
      </c>
      <c r="Q214" s="148" t="s">
        <v>7</v>
      </c>
      <c r="R214" s="164" t="s">
        <v>88</v>
      </c>
      <c r="S214" s="217"/>
      <c r="T214" s="151">
        <v>2143</v>
      </c>
      <c r="U214" s="152" t="s">
        <v>10</v>
      </c>
      <c r="V214" s="148" t="s">
        <v>89</v>
      </c>
      <c r="W214" s="164" t="s">
        <v>90</v>
      </c>
      <c r="X214" s="216"/>
      <c r="Y214" s="151">
        <v>1524</v>
      </c>
      <c r="Z214" s="152" t="s">
        <v>10</v>
      </c>
      <c r="AA214" s="148" t="s">
        <v>7</v>
      </c>
      <c r="AB214" s="164" t="s">
        <v>7</v>
      </c>
      <c r="AC214" s="165"/>
      <c r="AD214" s="151">
        <v>2154</v>
      </c>
      <c r="AE214" s="152" t="s">
        <v>10</v>
      </c>
      <c r="AF214" s="148"/>
      <c r="AG214" s="149"/>
      <c r="AH214" s="150"/>
      <c r="AI214" s="149"/>
      <c r="AJ214" s="166"/>
      <c r="AK214" s="91"/>
      <c r="AL214"/>
      <c r="AM214"/>
      <c r="AN214"/>
      <c r="AO214"/>
      <c r="AP214"/>
      <c r="AQ21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4"/>
      <c r="BN214" s="224"/>
      <c r="BO214" s="224"/>
      <c r="BP214" s="224"/>
      <c r="BQ214" s="224"/>
      <c r="BR214" s="224"/>
      <c r="BS214" s="224"/>
      <c r="BT214" s="224"/>
      <c r="BU214" s="224"/>
      <c r="BV214" s="224"/>
      <c r="BW214" s="224"/>
      <c r="BX214" s="224"/>
      <c r="BY214" s="224"/>
      <c r="BZ214" s="224"/>
      <c r="CA214" s="224"/>
      <c r="CB214" s="224"/>
      <c r="CC214" s="224"/>
      <c r="CD214" s="224"/>
      <c r="CE214" s="224"/>
      <c r="CF214" s="224"/>
      <c r="CG214" s="224"/>
      <c r="CH214" s="224"/>
    </row>
    <row r="215" spans="1:86" s="1" customFormat="1" ht="18" customHeight="1">
      <c r="A215" s="515"/>
      <c r="B215" s="235"/>
      <c r="C215" s="236"/>
      <c r="D215" s="237"/>
      <c r="E215" s="238"/>
      <c r="F215" s="239"/>
      <c r="G215" s="240"/>
      <c r="H215" s="236" t="s">
        <v>116</v>
      </c>
      <c r="I215" s="271"/>
      <c r="J215" s="242"/>
      <c r="K215" s="243"/>
      <c r="L215" s="240"/>
      <c r="M215" s="236" t="s">
        <v>116</v>
      </c>
      <c r="N215" s="241"/>
      <c r="O215" s="236"/>
      <c r="P215" s="243"/>
      <c r="Q215" s="240"/>
      <c r="R215" s="236" t="s">
        <v>116</v>
      </c>
      <c r="S215" s="241"/>
      <c r="T215" s="236"/>
      <c r="U215" s="243"/>
      <c r="V215" s="240"/>
      <c r="W215" s="236" t="s">
        <v>116</v>
      </c>
      <c r="X215" s="271"/>
      <c r="Y215" s="242"/>
      <c r="Z215" s="243"/>
      <c r="AA215" s="240"/>
      <c r="AB215" s="236" t="s">
        <v>116</v>
      </c>
      <c r="AC215" s="241"/>
      <c r="AD215" s="236"/>
      <c r="AE215" s="243"/>
      <c r="AF215" s="240"/>
      <c r="AG215" s="244"/>
      <c r="AH215" s="245"/>
      <c r="AI215" s="244"/>
      <c r="AJ215" s="243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</row>
    <row r="216" spans="1:86" s="1" customFormat="1" ht="18" customHeight="1">
      <c r="A216" s="515"/>
      <c r="B216" s="235"/>
      <c r="C216" s="236"/>
      <c r="D216" s="237"/>
      <c r="E216" s="238"/>
      <c r="F216" s="239"/>
      <c r="G216" s="235"/>
      <c r="H216" s="236" t="s">
        <v>117</v>
      </c>
      <c r="I216" s="271"/>
      <c r="J216" s="242"/>
      <c r="K216" s="239"/>
      <c r="L216" s="235"/>
      <c r="M216" s="236" t="s">
        <v>117</v>
      </c>
      <c r="N216" s="241"/>
      <c r="O216" s="236"/>
      <c r="P216" s="239"/>
      <c r="Q216" s="240"/>
      <c r="R216" s="236" t="s">
        <v>117</v>
      </c>
      <c r="S216" s="241"/>
      <c r="T216" s="236"/>
      <c r="U216" s="243"/>
      <c r="V216" s="240"/>
      <c r="W216" s="236" t="s">
        <v>117</v>
      </c>
      <c r="X216" s="271"/>
      <c r="Y216" s="242"/>
      <c r="Z216" s="243"/>
      <c r="AA216" s="240"/>
      <c r="AB216" s="236" t="s">
        <v>117</v>
      </c>
      <c r="AC216" s="241"/>
      <c r="AD216" s="236"/>
      <c r="AE216" s="243"/>
      <c r="AF216" s="235"/>
      <c r="AG216" s="236"/>
      <c r="AH216" s="237"/>
      <c r="AI216" s="238"/>
      <c r="AJ216" s="239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</row>
    <row r="217" spans="1:86" s="1" customFormat="1" ht="18" customHeight="1">
      <c r="A217" s="515"/>
      <c r="B217" s="235"/>
      <c r="C217" s="236"/>
      <c r="D217" s="237"/>
      <c r="E217" s="238"/>
      <c r="F217" s="239"/>
      <c r="G217" s="235"/>
      <c r="H217" s="236" t="s">
        <v>118</v>
      </c>
      <c r="I217" s="271"/>
      <c r="J217" s="242"/>
      <c r="K217" s="239"/>
      <c r="L217" s="235"/>
      <c r="M217" s="236" t="s">
        <v>118</v>
      </c>
      <c r="N217" s="241"/>
      <c r="O217" s="236"/>
      <c r="P217" s="239"/>
      <c r="Q217" s="240"/>
      <c r="R217" s="236" t="s">
        <v>118</v>
      </c>
      <c r="S217" s="241"/>
      <c r="T217" s="236"/>
      <c r="U217" s="243"/>
      <c r="V217" s="240"/>
      <c r="W217" s="236" t="s">
        <v>118</v>
      </c>
      <c r="X217" s="271"/>
      <c r="Y217" s="242"/>
      <c r="Z217" s="243"/>
      <c r="AA217" s="240"/>
      <c r="AB217" s="236" t="s">
        <v>118</v>
      </c>
      <c r="AC217" s="241"/>
      <c r="AD217" s="236"/>
      <c r="AE217" s="243"/>
      <c r="AF217" s="235"/>
      <c r="AG217" s="236"/>
      <c r="AH217" s="237"/>
      <c r="AI217" s="238"/>
      <c r="AJ217" s="239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</row>
    <row r="218" spans="1:86" s="1" customFormat="1" ht="18" customHeight="1" thickBot="1">
      <c r="A218" s="515"/>
      <c r="B218" s="235"/>
      <c r="C218" s="236"/>
      <c r="D218" s="237"/>
      <c r="E218" s="238"/>
      <c r="F218" s="239"/>
      <c r="G218" s="246"/>
      <c r="H218" s="247" t="s">
        <v>119</v>
      </c>
      <c r="I218" s="272"/>
      <c r="J218" s="249"/>
      <c r="K218" s="250"/>
      <c r="L218" s="246"/>
      <c r="M218" s="247" t="s">
        <v>119</v>
      </c>
      <c r="N218" s="248"/>
      <c r="O218" s="247"/>
      <c r="P218" s="250"/>
      <c r="Q218" s="251"/>
      <c r="R218" s="247" t="s">
        <v>119</v>
      </c>
      <c r="S218" s="248"/>
      <c r="T218" s="247"/>
      <c r="U218" s="252"/>
      <c r="V218" s="251"/>
      <c r="W218" s="247" t="s">
        <v>119</v>
      </c>
      <c r="X218" s="272"/>
      <c r="Y218" s="249"/>
      <c r="Z218" s="252"/>
      <c r="AA218" s="251"/>
      <c r="AB218" s="247" t="s">
        <v>119</v>
      </c>
      <c r="AC218" s="248"/>
      <c r="AD218" s="247"/>
      <c r="AE218" s="252"/>
      <c r="AF218" s="235"/>
      <c r="AG218" s="236"/>
      <c r="AH218" s="237"/>
      <c r="AI218" s="238"/>
      <c r="AJ218" s="239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</row>
    <row r="219" spans="1:86" s="1" customFormat="1" ht="18" customHeight="1">
      <c r="A219" s="515"/>
      <c r="B219" s="167"/>
      <c r="C219" s="168"/>
      <c r="D219" s="169"/>
      <c r="E219" s="170"/>
      <c r="F219" s="171"/>
      <c r="G219" s="153"/>
      <c r="H219" s="154"/>
      <c r="I219" s="174"/>
      <c r="J219" s="154"/>
      <c r="K219" s="156"/>
      <c r="L219" s="153" t="s">
        <v>91</v>
      </c>
      <c r="M219" s="154" t="s">
        <v>91</v>
      </c>
      <c r="N219" s="174"/>
      <c r="O219" s="154">
        <v>285</v>
      </c>
      <c r="P219" s="156" t="s">
        <v>10</v>
      </c>
      <c r="Q219" s="153"/>
      <c r="R219" s="154"/>
      <c r="S219" s="155"/>
      <c r="T219" s="172"/>
      <c r="U219" s="173"/>
      <c r="V219" s="153" t="s">
        <v>91</v>
      </c>
      <c r="W219" s="154" t="s">
        <v>91</v>
      </c>
      <c r="X219" s="174"/>
      <c r="Y219" s="154">
        <v>283</v>
      </c>
      <c r="Z219" s="156" t="s">
        <v>10</v>
      </c>
      <c r="AA219" s="153"/>
      <c r="AB219" s="154"/>
      <c r="AC219" s="155"/>
      <c r="AD219" s="154"/>
      <c r="AE219" s="156"/>
      <c r="AF219" s="153"/>
      <c r="AG219" s="154"/>
      <c r="AH219" s="155"/>
      <c r="AI219" s="154"/>
      <c r="AJ219" s="156"/>
      <c r="AK219" s="91"/>
      <c r="AL219"/>
      <c r="AM219"/>
      <c r="AN219"/>
      <c r="AO219"/>
      <c r="AP219"/>
      <c r="AQ219"/>
      <c r="AR219" s="224"/>
      <c r="AS219" s="224"/>
      <c r="AT219" s="224"/>
      <c r="AU219" s="224"/>
      <c r="AV219" s="224"/>
      <c r="AW219" s="224"/>
      <c r="AX219" s="224"/>
      <c r="AY219" s="224"/>
      <c r="AZ219" s="224"/>
      <c r="BA219" s="224"/>
      <c r="BB219" s="224"/>
      <c r="BC219" s="224"/>
      <c r="BD219" s="224"/>
      <c r="BE219" s="224"/>
      <c r="BF219" s="224"/>
      <c r="BG219" s="224"/>
      <c r="BH219" s="224"/>
      <c r="BI219" s="224"/>
      <c r="BJ219" s="224"/>
      <c r="BK219" s="224"/>
      <c r="BL219" s="224"/>
      <c r="BM219" s="224"/>
      <c r="BN219" s="224"/>
      <c r="BO219" s="224"/>
      <c r="BP219" s="224"/>
      <c r="BQ219" s="224"/>
      <c r="BR219" s="224"/>
      <c r="BS219" s="224"/>
      <c r="BT219" s="224"/>
      <c r="BU219" s="224"/>
      <c r="BV219" s="224"/>
      <c r="BW219" s="224"/>
      <c r="BX219" s="224"/>
      <c r="BY219" s="224"/>
      <c r="BZ219" s="224"/>
      <c r="CA219" s="224"/>
      <c r="CB219" s="224"/>
      <c r="CC219" s="224"/>
      <c r="CD219" s="224"/>
      <c r="CE219" s="224"/>
      <c r="CF219" s="224"/>
      <c r="CG219" s="224"/>
      <c r="CH219" s="224"/>
    </row>
    <row r="220" spans="1:86" s="1" customFormat="1" ht="18" hidden="1" customHeight="1" thickBot="1">
      <c r="A220" s="515"/>
      <c r="B220" s="167"/>
      <c r="C220" s="168"/>
      <c r="D220" s="169"/>
      <c r="E220" s="170"/>
      <c r="F220" s="171"/>
      <c r="G220" s="153"/>
      <c r="H220" s="154"/>
      <c r="I220" s="174"/>
      <c r="J220" s="154"/>
      <c r="K220" s="156"/>
      <c r="L220" s="153"/>
      <c r="M220" s="154"/>
      <c r="N220" s="174"/>
      <c r="O220" s="154"/>
      <c r="P220" s="156"/>
      <c r="Q220" s="153"/>
      <c r="R220" s="154"/>
      <c r="S220" s="155"/>
      <c r="T220" s="154"/>
      <c r="U220" s="156"/>
      <c r="V220" s="153"/>
      <c r="W220" s="154"/>
      <c r="X220" s="174"/>
      <c r="Y220" s="154"/>
      <c r="Z220" s="156"/>
      <c r="AA220" s="153"/>
      <c r="AB220" s="154"/>
      <c r="AC220" s="155"/>
      <c r="AD220" s="154"/>
      <c r="AE220" s="156"/>
      <c r="AF220" s="153"/>
      <c r="AG220" s="154"/>
      <c r="AH220" s="155"/>
      <c r="AI220" s="154"/>
      <c r="AJ220" s="156"/>
      <c r="AK220" s="91"/>
      <c r="AL220"/>
      <c r="AM220"/>
      <c r="AN220"/>
      <c r="AO220"/>
      <c r="AP220"/>
      <c r="AQ220"/>
      <c r="AR220" s="224"/>
      <c r="AS220" s="224"/>
      <c r="AT220" s="224"/>
      <c r="AU220" s="224"/>
      <c r="AV220" s="224"/>
      <c r="AW220" s="224"/>
      <c r="AX220" s="224"/>
      <c r="AY220" s="224"/>
      <c r="AZ220" s="224"/>
      <c r="BA220" s="224"/>
      <c r="BB220" s="224"/>
      <c r="BC220" s="224"/>
      <c r="BD220" s="224"/>
      <c r="BE220" s="224"/>
      <c r="BF220" s="224"/>
      <c r="BG220" s="224"/>
      <c r="BH220" s="224"/>
      <c r="BI220" s="224"/>
      <c r="BJ220" s="224"/>
      <c r="BK220" s="224"/>
      <c r="BL220" s="224"/>
      <c r="BM220" s="224"/>
      <c r="BN220" s="224"/>
      <c r="BO220" s="224"/>
      <c r="BP220" s="224"/>
      <c r="BQ220" s="224"/>
      <c r="BR220" s="224"/>
      <c r="BS220" s="224"/>
      <c r="BT220" s="224"/>
      <c r="BU220" s="224"/>
      <c r="BV220" s="224"/>
      <c r="BW220" s="224"/>
      <c r="BX220" s="224"/>
      <c r="BY220" s="224"/>
      <c r="BZ220" s="224"/>
      <c r="CA220" s="224"/>
      <c r="CB220" s="224"/>
      <c r="CC220" s="224"/>
      <c r="CD220" s="224"/>
      <c r="CE220" s="224"/>
      <c r="CF220" s="224"/>
      <c r="CG220" s="224"/>
      <c r="CH220" s="224"/>
    </row>
    <row r="221" spans="1:86" s="1" customFormat="1" ht="18" hidden="1" customHeight="1">
      <c r="A221" s="515"/>
      <c r="B221" s="167"/>
      <c r="C221" s="168"/>
      <c r="D221" s="169"/>
      <c r="E221" s="170"/>
      <c r="F221" s="171"/>
      <c r="G221" s="153"/>
      <c r="H221" s="154"/>
      <c r="I221" s="174"/>
      <c r="J221" s="154"/>
      <c r="K221" s="156"/>
      <c r="L221" s="153"/>
      <c r="M221" s="154"/>
      <c r="N221" s="174"/>
      <c r="O221" s="154"/>
      <c r="P221" s="156"/>
      <c r="Q221" s="153"/>
      <c r="R221" s="154"/>
      <c r="S221" s="155"/>
      <c r="T221" s="154"/>
      <c r="U221" s="156"/>
      <c r="V221" s="153"/>
      <c r="W221" s="154"/>
      <c r="X221" s="174"/>
      <c r="Y221" s="154"/>
      <c r="Z221" s="156"/>
      <c r="AA221" s="153"/>
      <c r="AB221" s="154"/>
      <c r="AC221" s="155"/>
      <c r="AD221" s="154"/>
      <c r="AE221" s="156"/>
      <c r="AF221" s="153"/>
      <c r="AG221" s="154"/>
      <c r="AH221" s="155"/>
      <c r="AI221" s="154"/>
      <c r="AJ221" s="156"/>
      <c r="AK221" s="91"/>
      <c r="AL221"/>
      <c r="AM221"/>
      <c r="AN221"/>
      <c r="AO221"/>
      <c r="AP221"/>
      <c r="AQ221"/>
      <c r="AR221" s="224"/>
      <c r="AS221" s="224"/>
      <c r="AT221" s="224"/>
      <c r="AU221" s="224"/>
      <c r="AV221" s="224"/>
      <c r="AW221" s="224"/>
      <c r="AX221" s="224"/>
      <c r="AY221" s="224"/>
      <c r="AZ221" s="224"/>
      <c r="BA221" s="224"/>
      <c r="BB221" s="224"/>
      <c r="BC221" s="224"/>
      <c r="BD221" s="224"/>
      <c r="BE221" s="224"/>
      <c r="BF221" s="224"/>
      <c r="BG221" s="224"/>
      <c r="BH221" s="224"/>
      <c r="BI221" s="224"/>
      <c r="BJ221" s="224"/>
      <c r="BK221" s="224"/>
      <c r="BL221" s="224"/>
      <c r="BM221" s="224"/>
      <c r="BN221" s="224"/>
      <c r="BO221" s="224"/>
      <c r="BP221" s="224"/>
      <c r="BQ221" s="224"/>
      <c r="BR221" s="224"/>
      <c r="BS221" s="224"/>
      <c r="BT221" s="224"/>
      <c r="BU221" s="224"/>
      <c r="BV221" s="224"/>
      <c r="BW221" s="224"/>
      <c r="BX221" s="224"/>
      <c r="BY221" s="224"/>
      <c r="BZ221" s="224"/>
      <c r="CA221" s="224"/>
      <c r="CB221" s="224"/>
      <c r="CC221" s="224"/>
      <c r="CD221" s="224"/>
      <c r="CE221" s="224"/>
      <c r="CF221" s="224"/>
      <c r="CG221" s="224"/>
      <c r="CH221" s="224"/>
    </row>
    <row r="222" spans="1:86" s="1" customFormat="1" ht="18" hidden="1" customHeight="1">
      <c r="A222" s="515"/>
      <c r="B222" s="167"/>
      <c r="C222" s="168"/>
      <c r="D222" s="169"/>
      <c r="E222" s="170"/>
      <c r="F222" s="171"/>
      <c r="G222" s="153"/>
      <c r="H222" s="154"/>
      <c r="I222" s="174"/>
      <c r="J222" s="154"/>
      <c r="K222" s="156"/>
      <c r="L222" s="153"/>
      <c r="M222" s="154"/>
      <c r="N222" s="174"/>
      <c r="O222" s="154"/>
      <c r="P222" s="156"/>
      <c r="Q222" s="153"/>
      <c r="R222" s="154"/>
      <c r="S222" s="155"/>
      <c r="T222" s="154"/>
      <c r="U222" s="156"/>
      <c r="V222" s="153"/>
      <c r="W222" s="154"/>
      <c r="X222" s="174"/>
      <c r="Y222" s="154"/>
      <c r="Z222" s="156"/>
      <c r="AA222" s="153"/>
      <c r="AB222" s="154"/>
      <c r="AC222" s="155"/>
      <c r="AD222" s="154"/>
      <c r="AE222" s="156"/>
      <c r="AF222" s="153"/>
      <c r="AG222" s="154"/>
      <c r="AH222" s="155"/>
      <c r="AI222" s="154"/>
      <c r="AJ222" s="156"/>
      <c r="AK222" s="91"/>
      <c r="AL222"/>
      <c r="AM222"/>
      <c r="AN222"/>
      <c r="AO222"/>
      <c r="AP222"/>
      <c r="AQ222"/>
      <c r="AR222" s="224"/>
      <c r="AS222" s="224"/>
      <c r="AT222" s="224"/>
      <c r="AU222" s="224"/>
      <c r="AV222" s="224"/>
      <c r="AW222" s="224"/>
      <c r="AX222" s="224"/>
      <c r="AY222" s="224"/>
      <c r="AZ222" s="224"/>
      <c r="BA222" s="224"/>
      <c r="BB222" s="224"/>
      <c r="BC222" s="224"/>
      <c r="BD222" s="224"/>
      <c r="BE222" s="224"/>
      <c r="BF222" s="224"/>
      <c r="BG222" s="224"/>
      <c r="BH222" s="224"/>
      <c r="BI222" s="224"/>
      <c r="BJ222" s="224"/>
      <c r="BK222" s="224"/>
      <c r="BL222" s="224"/>
      <c r="BM222" s="224"/>
      <c r="BN222" s="224"/>
      <c r="BO222" s="224"/>
      <c r="BP222" s="224"/>
      <c r="BQ222" s="224"/>
      <c r="BR222" s="224"/>
      <c r="BS222" s="224"/>
      <c r="BT222" s="224"/>
      <c r="BU222" s="224"/>
      <c r="BV222" s="224"/>
      <c r="BW222" s="224"/>
      <c r="BX222" s="224"/>
      <c r="BY222" s="224"/>
      <c r="BZ222" s="224"/>
      <c r="CA222" s="224"/>
      <c r="CB222" s="224"/>
      <c r="CC222" s="224"/>
      <c r="CD222" s="224"/>
      <c r="CE222" s="224"/>
      <c r="CF222" s="224"/>
      <c r="CG222" s="224"/>
      <c r="CH222" s="224"/>
    </row>
    <row r="223" spans="1:86" s="1" customFormat="1" ht="18" hidden="1" customHeight="1">
      <c r="A223" s="515"/>
      <c r="B223" s="167"/>
      <c r="C223" s="168"/>
      <c r="D223" s="169"/>
      <c r="E223" s="170"/>
      <c r="F223" s="171"/>
      <c r="G223" s="153"/>
      <c r="H223" s="154"/>
      <c r="I223" s="174"/>
      <c r="J223" s="154"/>
      <c r="K223" s="156"/>
      <c r="L223" s="153"/>
      <c r="M223" s="154"/>
      <c r="N223" s="174"/>
      <c r="O223" s="154"/>
      <c r="P223" s="156"/>
      <c r="Q223" s="153"/>
      <c r="R223" s="154"/>
      <c r="S223" s="155"/>
      <c r="T223" s="154"/>
      <c r="U223" s="156"/>
      <c r="V223" s="153"/>
      <c r="W223" s="154"/>
      <c r="X223" s="174"/>
      <c r="Y223" s="154"/>
      <c r="Z223" s="156"/>
      <c r="AA223" s="153"/>
      <c r="AB223" s="154"/>
      <c r="AC223" s="155"/>
      <c r="AD223" s="154"/>
      <c r="AE223" s="156"/>
      <c r="AF223" s="153"/>
      <c r="AG223" s="154"/>
      <c r="AH223" s="155"/>
      <c r="AI223" s="154"/>
      <c r="AJ223" s="156"/>
      <c r="AK223" s="91"/>
      <c r="AL223"/>
      <c r="AM223"/>
      <c r="AN223"/>
      <c r="AO223"/>
      <c r="AP223"/>
      <c r="AQ223"/>
      <c r="AR223" s="224"/>
      <c r="AS223" s="224"/>
      <c r="AT223" s="224"/>
      <c r="AU223" s="224"/>
      <c r="AV223" s="224"/>
      <c r="AW223" s="224"/>
      <c r="AX223" s="224"/>
      <c r="AY223" s="224"/>
      <c r="AZ223" s="224"/>
      <c r="BA223" s="224"/>
      <c r="BB223" s="224"/>
      <c r="BC223" s="224"/>
      <c r="BD223" s="224"/>
      <c r="BE223" s="224"/>
      <c r="BF223" s="224"/>
      <c r="BG223" s="224"/>
      <c r="BH223" s="224"/>
      <c r="BI223" s="224"/>
      <c r="BJ223" s="224"/>
      <c r="BK223" s="224"/>
      <c r="BL223" s="224"/>
      <c r="BM223" s="224"/>
      <c r="BN223" s="224"/>
      <c r="BO223" s="224"/>
      <c r="BP223" s="224"/>
      <c r="BQ223" s="224"/>
      <c r="BR223" s="224"/>
      <c r="BS223" s="224"/>
      <c r="BT223" s="224"/>
      <c r="BU223" s="224"/>
      <c r="BV223" s="224"/>
      <c r="BW223" s="224"/>
      <c r="BX223" s="224"/>
      <c r="BY223" s="224"/>
      <c r="BZ223" s="224"/>
      <c r="CA223" s="224"/>
      <c r="CB223" s="224"/>
      <c r="CC223" s="224"/>
      <c r="CD223" s="224"/>
      <c r="CE223" s="224"/>
      <c r="CF223" s="224"/>
      <c r="CG223" s="224"/>
      <c r="CH223" s="224"/>
    </row>
    <row r="224" spans="1:86" s="1" customFormat="1" ht="18" hidden="1" customHeight="1">
      <c r="A224" s="515"/>
      <c r="B224" s="167"/>
      <c r="C224" s="168"/>
      <c r="D224" s="169"/>
      <c r="E224" s="170"/>
      <c r="F224" s="171"/>
      <c r="G224" s="153"/>
      <c r="H224" s="154"/>
      <c r="I224" s="174"/>
      <c r="J224" s="154"/>
      <c r="K224" s="156"/>
      <c r="L224" s="153"/>
      <c r="M224" s="154"/>
      <c r="N224" s="174"/>
      <c r="O224" s="154"/>
      <c r="P224" s="156"/>
      <c r="Q224" s="153"/>
      <c r="R224" s="154"/>
      <c r="S224" s="155"/>
      <c r="T224" s="154"/>
      <c r="U224" s="156"/>
      <c r="V224" s="153"/>
      <c r="W224" s="154"/>
      <c r="X224" s="174"/>
      <c r="Y224" s="154"/>
      <c r="Z224" s="156"/>
      <c r="AA224" s="153"/>
      <c r="AB224" s="154"/>
      <c r="AC224" s="155"/>
      <c r="AD224" s="154"/>
      <c r="AE224" s="156"/>
      <c r="AF224" s="153"/>
      <c r="AG224" s="154"/>
      <c r="AH224" s="155"/>
      <c r="AI224" s="154"/>
      <c r="AJ224" s="156"/>
      <c r="AK224" s="91"/>
      <c r="AL224"/>
      <c r="AM224"/>
      <c r="AN224"/>
      <c r="AO224"/>
      <c r="AP224"/>
      <c r="AQ224"/>
      <c r="AR224" s="224"/>
      <c r="AS224" s="224"/>
      <c r="AT224" s="224"/>
      <c r="AU224" s="224"/>
      <c r="AV224" s="224"/>
      <c r="AW224" s="224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24"/>
      <c r="BN224" s="224"/>
      <c r="BO224" s="224"/>
      <c r="BP224" s="224"/>
      <c r="BQ224" s="224"/>
      <c r="BR224" s="224"/>
      <c r="BS224" s="224"/>
      <c r="BT224" s="224"/>
      <c r="BU224" s="224"/>
      <c r="BV224" s="224"/>
      <c r="BW224" s="224"/>
      <c r="BX224" s="224"/>
      <c r="BY224" s="224"/>
      <c r="BZ224" s="224"/>
      <c r="CA224" s="224"/>
      <c r="CB224" s="224"/>
      <c r="CC224" s="224"/>
      <c r="CD224" s="224"/>
      <c r="CE224" s="224"/>
      <c r="CF224" s="224"/>
      <c r="CG224" s="224"/>
      <c r="CH224" s="224"/>
    </row>
    <row r="225" spans="1:86" s="1" customFormat="1" ht="18" hidden="1" customHeight="1">
      <c r="A225" s="515"/>
      <c r="B225" s="167"/>
      <c r="C225" s="168"/>
      <c r="D225" s="169"/>
      <c r="E225" s="170"/>
      <c r="F225" s="171"/>
      <c r="G225" s="153"/>
      <c r="H225" s="154"/>
      <c r="I225" s="174"/>
      <c r="J225" s="154"/>
      <c r="K225" s="156"/>
      <c r="L225" s="153"/>
      <c r="M225" s="154"/>
      <c r="N225" s="174"/>
      <c r="O225" s="154"/>
      <c r="P225" s="156"/>
      <c r="Q225" s="153"/>
      <c r="R225" s="154"/>
      <c r="S225" s="155"/>
      <c r="T225" s="154"/>
      <c r="U225" s="156"/>
      <c r="V225" s="153"/>
      <c r="W225" s="154"/>
      <c r="X225" s="174"/>
      <c r="Y225" s="154"/>
      <c r="Z225" s="156"/>
      <c r="AA225" s="153"/>
      <c r="AB225" s="154"/>
      <c r="AC225" s="155"/>
      <c r="AD225" s="154"/>
      <c r="AE225" s="156"/>
      <c r="AF225" s="153"/>
      <c r="AG225" s="154"/>
      <c r="AH225" s="155"/>
      <c r="AI225" s="154"/>
      <c r="AJ225" s="156"/>
      <c r="AK225" s="91"/>
      <c r="AL225"/>
      <c r="AM225"/>
      <c r="AN225"/>
      <c r="AO225"/>
      <c r="AP225"/>
      <c r="AQ225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4"/>
      <c r="BN225" s="224"/>
      <c r="BO225" s="224"/>
      <c r="BP225" s="224"/>
      <c r="BQ225" s="224"/>
      <c r="BR225" s="224"/>
      <c r="BS225" s="224"/>
      <c r="BT225" s="224"/>
      <c r="BU225" s="224"/>
      <c r="BV225" s="224"/>
      <c r="BW225" s="224"/>
      <c r="BX225" s="224"/>
      <c r="BY225" s="224"/>
      <c r="BZ225" s="224"/>
      <c r="CA225" s="224"/>
      <c r="CB225" s="224"/>
      <c r="CC225" s="224"/>
      <c r="CD225" s="224"/>
      <c r="CE225" s="224"/>
      <c r="CF225" s="224"/>
      <c r="CG225" s="224"/>
      <c r="CH225" s="224"/>
    </row>
    <row r="226" spans="1:86" s="1" customFormat="1" ht="18" hidden="1" customHeight="1">
      <c r="A226" s="515"/>
      <c r="B226" s="167"/>
      <c r="C226" s="168"/>
      <c r="D226" s="169"/>
      <c r="E226" s="170"/>
      <c r="F226" s="171"/>
      <c r="G226" s="153"/>
      <c r="H226" s="154"/>
      <c r="I226" s="174"/>
      <c r="J226" s="154"/>
      <c r="K226" s="156"/>
      <c r="L226" s="153"/>
      <c r="M226" s="154"/>
      <c r="N226" s="174"/>
      <c r="O226" s="154"/>
      <c r="P226" s="156"/>
      <c r="Q226" s="153"/>
      <c r="R226" s="154"/>
      <c r="S226" s="155"/>
      <c r="T226" s="154"/>
      <c r="U226" s="156"/>
      <c r="V226" s="153"/>
      <c r="W226" s="154"/>
      <c r="X226" s="174"/>
      <c r="Y226" s="154"/>
      <c r="Z226" s="156"/>
      <c r="AA226" s="153"/>
      <c r="AB226" s="154"/>
      <c r="AC226" s="155"/>
      <c r="AD226" s="154"/>
      <c r="AE226" s="156"/>
      <c r="AF226" s="153"/>
      <c r="AG226" s="154"/>
      <c r="AH226" s="155"/>
      <c r="AI226" s="154"/>
      <c r="AJ226" s="156"/>
      <c r="AK226" s="91"/>
      <c r="AL226"/>
      <c r="AM226"/>
      <c r="AN226"/>
      <c r="AO226"/>
      <c r="AP226"/>
      <c r="AQ226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4"/>
      <c r="BN226" s="224"/>
      <c r="BO226" s="224"/>
      <c r="BP226" s="224"/>
      <c r="BQ226" s="224"/>
      <c r="BR226" s="224"/>
      <c r="BS226" s="224"/>
      <c r="BT226" s="224"/>
      <c r="BU226" s="224"/>
      <c r="BV226" s="224"/>
      <c r="BW226" s="224"/>
      <c r="BX226" s="224"/>
      <c r="BY226" s="224"/>
      <c r="BZ226" s="224"/>
      <c r="CA226" s="224"/>
      <c r="CB226" s="224"/>
      <c r="CC226" s="224"/>
      <c r="CD226" s="224"/>
      <c r="CE226" s="224"/>
      <c r="CF226" s="224"/>
      <c r="CG226" s="224"/>
      <c r="CH226" s="224"/>
    </row>
    <row r="227" spans="1:86" s="1" customFormat="1" ht="18" hidden="1" customHeight="1">
      <c r="A227" s="515"/>
      <c r="B227" s="167"/>
      <c r="C227" s="168"/>
      <c r="D227" s="169"/>
      <c r="E227" s="170"/>
      <c r="F227" s="171"/>
      <c r="G227" s="153"/>
      <c r="H227" s="154"/>
      <c r="I227" s="174"/>
      <c r="J227" s="154"/>
      <c r="K227" s="156"/>
      <c r="L227" s="153"/>
      <c r="M227" s="154"/>
      <c r="N227" s="174"/>
      <c r="O227" s="154"/>
      <c r="P227" s="156"/>
      <c r="Q227" s="153"/>
      <c r="R227" s="154"/>
      <c r="S227" s="155"/>
      <c r="T227" s="154"/>
      <c r="U227" s="156"/>
      <c r="V227" s="153"/>
      <c r="W227" s="154"/>
      <c r="X227" s="174"/>
      <c r="Y227" s="154"/>
      <c r="Z227" s="156"/>
      <c r="AA227" s="153"/>
      <c r="AB227" s="154"/>
      <c r="AC227" s="155"/>
      <c r="AD227" s="154"/>
      <c r="AE227" s="156"/>
      <c r="AF227" s="153"/>
      <c r="AG227" s="154"/>
      <c r="AH227" s="155"/>
      <c r="AI227" s="154"/>
      <c r="AJ227" s="156"/>
      <c r="AK227" s="91"/>
      <c r="AL227"/>
      <c r="AM227"/>
      <c r="AN227"/>
      <c r="AO227"/>
      <c r="AP227"/>
      <c r="AQ227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4"/>
      <c r="BN227" s="224"/>
      <c r="BO227" s="224"/>
      <c r="BP227" s="224"/>
      <c r="BQ227" s="224"/>
      <c r="BR227" s="224"/>
      <c r="BS227" s="224"/>
      <c r="BT227" s="224"/>
      <c r="BU227" s="224"/>
      <c r="BV227" s="224"/>
      <c r="BW227" s="224"/>
      <c r="BX227" s="224"/>
      <c r="BY227" s="224"/>
      <c r="BZ227" s="224"/>
      <c r="CA227" s="224"/>
      <c r="CB227" s="224"/>
      <c r="CC227" s="224"/>
      <c r="CD227" s="224"/>
      <c r="CE227" s="224"/>
      <c r="CF227" s="224"/>
      <c r="CG227" s="224"/>
      <c r="CH227" s="224"/>
    </row>
    <row r="228" spans="1:86" s="1" customFormat="1" ht="18" hidden="1" customHeight="1">
      <c r="A228" s="515"/>
      <c r="B228" s="167"/>
      <c r="C228" s="168"/>
      <c r="D228" s="169"/>
      <c r="E228" s="170"/>
      <c r="F228" s="171"/>
      <c r="G228" s="153"/>
      <c r="H228" s="154"/>
      <c r="I228" s="174"/>
      <c r="J228" s="154"/>
      <c r="K228" s="156"/>
      <c r="L228" s="153"/>
      <c r="M228" s="154"/>
      <c r="N228" s="174"/>
      <c r="O228" s="154"/>
      <c r="P228" s="156"/>
      <c r="Q228" s="153"/>
      <c r="R228" s="154"/>
      <c r="S228" s="155"/>
      <c r="T228" s="154"/>
      <c r="U228" s="156"/>
      <c r="V228" s="153"/>
      <c r="W228" s="154"/>
      <c r="X228" s="174"/>
      <c r="Y228" s="154"/>
      <c r="Z228" s="156"/>
      <c r="AA228" s="153"/>
      <c r="AB228" s="154"/>
      <c r="AC228" s="155"/>
      <c r="AD228" s="154"/>
      <c r="AE228" s="156"/>
      <c r="AF228" s="153"/>
      <c r="AG228" s="154"/>
      <c r="AH228" s="155"/>
      <c r="AI228" s="154"/>
      <c r="AJ228" s="156"/>
      <c r="AK228" s="91"/>
      <c r="AL228"/>
      <c r="AM228"/>
      <c r="AN228"/>
      <c r="AO228"/>
      <c r="AP228"/>
      <c r="AQ228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4"/>
      <c r="BN228" s="224"/>
      <c r="BO228" s="224"/>
      <c r="BP228" s="224"/>
      <c r="BQ228" s="224"/>
      <c r="BR228" s="224"/>
      <c r="BS228" s="224"/>
      <c r="BT228" s="224"/>
      <c r="BU228" s="224"/>
      <c r="BV228" s="224"/>
      <c r="BW228" s="224"/>
      <c r="BX228" s="224"/>
      <c r="BY228" s="224"/>
      <c r="BZ228" s="224"/>
      <c r="CA228" s="224"/>
      <c r="CB228" s="224"/>
      <c r="CC228" s="224"/>
      <c r="CD228" s="224"/>
      <c r="CE228" s="224"/>
      <c r="CF228" s="224"/>
      <c r="CG228" s="224"/>
      <c r="CH228" s="224"/>
    </row>
    <row r="229" spans="1:86" s="1" customFormat="1" ht="18" hidden="1" customHeight="1">
      <c r="A229" s="515"/>
      <c r="B229" s="167"/>
      <c r="C229" s="168"/>
      <c r="D229" s="169"/>
      <c r="E229" s="170"/>
      <c r="F229" s="171"/>
      <c r="G229" s="153"/>
      <c r="H229" s="154"/>
      <c r="I229" s="174"/>
      <c r="J229" s="154"/>
      <c r="K229" s="156"/>
      <c r="L229" s="153"/>
      <c r="M229" s="154"/>
      <c r="N229" s="174"/>
      <c r="O229" s="154"/>
      <c r="P229" s="156"/>
      <c r="Q229" s="153"/>
      <c r="R229" s="154"/>
      <c r="S229" s="155"/>
      <c r="T229" s="154"/>
      <c r="U229" s="156"/>
      <c r="V229" s="153"/>
      <c r="W229" s="154"/>
      <c r="X229" s="174"/>
      <c r="Y229" s="154"/>
      <c r="Z229" s="156"/>
      <c r="AA229" s="153"/>
      <c r="AB229" s="154"/>
      <c r="AC229" s="155"/>
      <c r="AD229" s="154"/>
      <c r="AE229" s="156"/>
      <c r="AF229" s="153"/>
      <c r="AG229" s="154"/>
      <c r="AH229" s="155"/>
      <c r="AI229" s="154"/>
      <c r="AJ229" s="156"/>
      <c r="AK229" s="91"/>
      <c r="AL229"/>
      <c r="AM229"/>
      <c r="AN229"/>
      <c r="AO229"/>
      <c r="AP229"/>
      <c r="AQ229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4"/>
      <c r="BN229" s="224"/>
      <c r="BO229" s="224"/>
      <c r="BP229" s="224"/>
      <c r="BQ229" s="224"/>
      <c r="BR229" s="224"/>
      <c r="BS229" s="224"/>
      <c r="BT229" s="224"/>
      <c r="BU229" s="224"/>
      <c r="BV229" s="224"/>
      <c r="BW229" s="224"/>
      <c r="BX229" s="224"/>
      <c r="BY229" s="224"/>
      <c r="BZ229" s="224"/>
      <c r="CA229" s="224"/>
      <c r="CB229" s="224"/>
      <c r="CC229" s="224"/>
      <c r="CD229" s="224"/>
      <c r="CE229" s="224"/>
      <c r="CF229" s="224"/>
      <c r="CG229" s="224"/>
      <c r="CH229" s="224"/>
    </row>
    <row r="230" spans="1:86" s="1" customFormat="1" ht="18" hidden="1" customHeight="1">
      <c r="A230" s="515"/>
      <c r="B230" s="167"/>
      <c r="C230" s="168"/>
      <c r="D230" s="169"/>
      <c r="E230" s="170"/>
      <c r="F230" s="171"/>
      <c r="G230" s="153"/>
      <c r="H230" s="154"/>
      <c r="I230" s="174"/>
      <c r="J230" s="154"/>
      <c r="K230" s="156"/>
      <c r="L230" s="153"/>
      <c r="M230" s="154"/>
      <c r="N230" s="174"/>
      <c r="O230" s="154"/>
      <c r="P230" s="156"/>
      <c r="Q230" s="153"/>
      <c r="R230" s="154"/>
      <c r="S230" s="155"/>
      <c r="T230" s="154"/>
      <c r="U230" s="156"/>
      <c r="V230" s="153"/>
      <c r="W230" s="154"/>
      <c r="X230" s="174"/>
      <c r="Y230" s="154"/>
      <c r="Z230" s="156"/>
      <c r="AA230" s="153"/>
      <c r="AB230" s="154"/>
      <c r="AC230" s="155"/>
      <c r="AD230" s="154"/>
      <c r="AE230" s="156"/>
      <c r="AF230" s="153"/>
      <c r="AG230" s="154"/>
      <c r="AH230" s="155"/>
      <c r="AI230" s="154"/>
      <c r="AJ230" s="156"/>
      <c r="AK230" s="91"/>
      <c r="AL230"/>
      <c r="AM230"/>
      <c r="AN230"/>
      <c r="AO230"/>
      <c r="AP230"/>
      <c r="AQ230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4"/>
      <c r="BN230" s="224"/>
      <c r="BO230" s="224"/>
      <c r="BP230" s="224"/>
      <c r="BQ230" s="224"/>
      <c r="BR230" s="224"/>
      <c r="BS230" s="224"/>
      <c r="BT230" s="224"/>
      <c r="BU230" s="224"/>
      <c r="BV230" s="224"/>
      <c r="BW230" s="224"/>
      <c r="BX230" s="224"/>
      <c r="BY230" s="224"/>
      <c r="BZ230" s="224"/>
      <c r="CA230" s="224"/>
      <c r="CB230" s="224"/>
      <c r="CC230" s="224"/>
      <c r="CD230" s="224"/>
      <c r="CE230" s="224"/>
      <c r="CF230" s="224"/>
      <c r="CG230" s="224"/>
      <c r="CH230" s="224"/>
    </row>
    <row r="231" spans="1:86" s="1" customFormat="1" ht="18" hidden="1" customHeight="1">
      <c r="A231" s="515"/>
      <c r="B231" s="167"/>
      <c r="C231" s="168"/>
      <c r="D231" s="169"/>
      <c r="E231" s="170"/>
      <c r="F231" s="171"/>
      <c r="G231" s="153"/>
      <c r="H231" s="154"/>
      <c r="I231" s="174"/>
      <c r="J231" s="154"/>
      <c r="K231" s="156"/>
      <c r="L231" s="153"/>
      <c r="M231" s="154"/>
      <c r="N231" s="174"/>
      <c r="O231" s="154"/>
      <c r="P231" s="156"/>
      <c r="Q231" s="153"/>
      <c r="R231" s="154"/>
      <c r="S231" s="155"/>
      <c r="T231" s="154"/>
      <c r="U231" s="156"/>
      <c r="V231" s="153"/>
      <c r="W231" s="154"/>
      <c r="X231" s="174"/>
      <c r="Y231" s="154"/>
      <c r="Z231" s="156"/>
      <c r="AA231" s="153"/>
      <c r="AB231" s="154"/>
      <c r="AC231" s="155"/>
      <c r="AD231" s="154"/>
      <c r="AE231" s="156"/>
      <c r="AF231" s="153"/>
      <c r="AG231" s="154"/>
      <c r="AH231" s="155"/>
      <c r="AI231" s="154"/>
      <c r="AJ231" s="156"/>
      <c r="AK231" s="91"/>
      <c r="AL231"/>
      <c r="AM231"/>
      <c r="AN231"/>
      <c r="AO231"/>
      <c r="AP231"/>
      <c r="AQ231"/>
      <c r="AR231" s="224"/>
      <c r="AS231" s="224"/>
      <c r="AT231" s="224"/>
      <c r="AU231" s="224"/>
      <c r="AV231" s="224"/>
      <c r="AW231" s="224"/>
      <c r="AX231" s="224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4"/>
      <c r="BN231" s="224"/>
      <c r="BO231" s="224"/>
      <c r="BP231" s="224"/>
      <c r="BQ231" s="224"/>
      <c r="BR231" s="224"/>
      <c r="BS231" s="224"/>
      <c r="BT231" s="224"/>
      <c r="BU231" s="224"/>
      <c r="BV231" s="224"/>
      <c r="BW231" s="224"/>
      <c r="BX231" s="224"/>
      <c r="BY231" s="224"/>
      <c r="BZ231" s="224"/>
      <c r="CA231" s="224"/>
      <c r="CB231" s="224"/>
      <c r="CC231" s="224"/>
      <c r="CD231" s="224"/>
      <c r="CE231" s="224"/>
      <c r="CF231" s="224"/>
      <c r="CG231" s="224"/>
      <c r="CH231" s="224"/>
    </row>
    <row r="232" spans="1:86" s="1" customFormat="1" ht="18" hidden="1" customHeight="1">
      <c r="A232" s="515"/>
      <c r="B232" s="175"/>
      <c r="C232" s="176"/>
      <c r="D232" s="177"/>
      <c r="E232" s="177"/>
      <c r="F232" s="178"/>
      <c r="G232" s="179"/>
      <c r="H232" s="180"/>
      <c r="I232" s="181"/>
      <c r="J232" s="180"/>
      <c r="K232" s="182"/>
      <c r="L232" s="179"/>
      <c r="M232" s="180"/>
      <c r="N232" s="181"/>
      <c r="O232" s="180"/>
      <c r="P232" s="182"/>
      <c r="Q232" s="179"/>
      <c r="R232" s="180"/>
      <c r="S232" s="180"/>
      <c r="T232" s="180"/>
      <c r="U232" s="182"/>
      <c r="V232" s="179"/>
      <c r="W232" s="180"/>
      <c r="X232" s="181"/>
      <c r="Y232" s="180"/>
      <c r="Z232" s="182"/>
      <c r="AA232" s="179"/>
      <c r="AB232" s="180"/>
      <c r="AC232" s="180"/>
      <c r="AD232" s="180"/>
      <c r="AE232" s="182"/>
      <c r="AF232" s="179"/>
      <c r="AG232" s="180"/>
      <c r="AH232" s="180"/>
      <c r="AI232" s="180"/>
      <c r="AJ232" s="182"/>
      <c r="AK232" s="91"/>
      <c r="AL232"/>
      <c r="AM232"/>
      <c r="AN232"/>
      <c r="AO232"/>
      <c r="AP232"/>
      <c r="AQ232"/>
      <c r="AR232" s="224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224"/>
      <c r="BN232" s="224"/>
      <c r="BO232" s="224"/>
      <c r="BP232" s="224"/>
      <c r="BQ232" s="224"/>
      <c r="BR232" s="224"/>
      <c r="BS232" s="224"/>
      <c r="BT232" s="224"/>
      <c r="BU232" s="224"/>
      <c r="BV232" s="224"/>
      <c r="BW232" s="224"/>
      <c r="BX232" s="224"/>
      <c r="BY232" s="224"/>
      <c r="BZ232" s="224"/>
      <c r="CA232" s="224"/>
      <c r="CB232" s="224"/>
      <c r="CC232" s="224"/>
      <c r="CD232" s="224"/>
      <c r="CE232" s="224"/>
      <c r="CF232" s="224"/>
      <c r="CG232" s="224"/>
      <c r="CH232" s="224"/>
    </row>
    <row r="233" spans="1:86" s="1" customFormat="1" ht="18" hidden="1" customHeight="1">
      <c r="A233" s="516"/>
      <c r="B233" s="517" t="s">
        <v>9</v>
      </c>
      <c r="C233" s="518"/>
      <c r="D233" s="519"/>
      <c r="E233" s="518"/>
      <c r="F233" s="32" t="s">
        <v>10</v>
      </c>
      <c r="G233" s="520"/>
      <c r="H233" s="521"/>
      <c r="I233" s="522"/>
      <c r="J233" s="521"/>
      <c r="K233" s="183"/>
      <c r="L233" s="520"/>
      <c r="M233" s="521"/>
      <c r="N233" s="522"/>
      <c r="O233" s="521"/>
      <c r="P233" s="183"/>
      <c r="Q233" s="520"/>
      <c r="R233" s="521"/>
      <c r="S233" s="522"/>
      <c r="T233" s="521"/>
      <c r="U233" s="183"/>
      <c r="V233" s="520"/>
      <c r="W233" s="521"/>
      <c r="X233" s="522"/>
      <c r="Y233" s="521"/>
      <c r="Z233" s="183"/>
      <c r="AA233" s="520"/>
      <c r="AB233" s="521"/>
      <c r="AC233" s="522"/>
      <c r="AD233" s="521"/>
      <c r="AE233" s="183"/>
      <c r="AF233" s="520"/>
      <c r="AG233" s="521"/>
      <c r="AH233" s="522"/>
      <c r="AI233" s="521"/>
      <c r="AJ233" s="183"/>
      <c r="AK233" s="91"/>
      <c r="AL233"/>
      <c r="AM233"/>
      <c r="AN233"/>
      <c r="AO233"/>
      <c r="AP233"/>
      <c r="AQ233"/>
      <c r="AR233" s="224"/>
      <c r="AS233" s="224"/>
      <c r="AT233" s="224"/>
      <c r="AU233" s="224"/>
      <c r="AV233" s="224"/>
      <c r="AW233" s="224"/>
      <c r="AX233" s="224"/>
      <c r="AY233" s="224"/>
      <c r="AZ233" s="224"/>
      <c r="BA233" s="224"/>
      <c r="BB233" s="224"/>
      <c r="BC233" s="224"/>
      <c r="BD233" s="224"/>
      <c r="BE233" s="224"/>
      <c r="BF233" s="224"/>
      <c r="BG233" s="224"/>
      <c r="BH233" s="224"/>
      <c r="BI233" s="224"/>
      <c r="BJ233" s="224"/>
      <c r="BK233" s="224"/>
      <c r="BL233" s="224"/>
      <c r="BM233" s="224"/>
      <c r="BN233" s="224"/>
      <c r="BO233" s="224"/>
      <c r="BP233" s="224"/>
      <c r="BQ233" s="224"/>
      <c r="BR233" s="224"/>
      <c r="BS233" s="224"/>
      <c r="BT233" s="224"/>
      <c r="BU233" s="224"/>
      <c r="BV233" s="224"/>
      <c r="BW233" s="224"/>
      <c r="BX233" s="224"/>
      <c r="BY233" s="224"/>
      <c r="BZ233" s="224"/>
      <c r="CA233" s="224"/>
      <c r="CB233" s="224"/>
      <c r="CC233" s="224"/>
      <c r="CD233" s="224"/>
      <c r="CE233" s="224"/>
      <c r="CF233" s="224"/>
      <c r="CG233" s="224"/>
      <c r="CH233" s="224"/>
    </row>
    <row r="234" spans="1:86" s="1" customFormat="1" ht="18" hidden="1" customHeight="1">
      <c r="A234" s="514" t="s">
        <v>60</v>
      </c>
      <c r="B234" s="159"/>
      <c r="C234" s="160"/>
      <c r="D234" s="161"/>
      <c r="E234" s="162"/>
      <c r="F234" s="163"/>
      <c r="G234" s="148"/>
      <c r="H234" s="149"/>
      <c r="I234" s="218"/>
      <c r="J234" s="149"/>
      <c r="K234" s="166"/>
      <c r="L234" s="148"/>
      <c r="M234" s="149"/>
      <c r="N234" s="218"/>
      <c r="O234" s="149"/>
      <c r="P234" s="166"/>
      <c r="Q234" s="148"/>
      <c r="R234" s="149"/>
      <c r="S234" s="150"/>
      <c r="T234" s="149"/>
      <c r="U234" s="166"/>
      <c r="V234" s="148"/>
      <c r="W234" s="149"/>
      <c r="X234" s="218"/>
      <c r="Y234" s="149"/>
      <c r="Z234" s="166"/>
      <c r="AA234" s="148"/>
      <c r="AB234" s="149"/>
      <c r="AC234" s="150"/>
      <c r="AD234" s="149"/>
      <c r="AE234" s="166"/>
      <c r="AF234" s="148"/>
      <c r="AG234" s="149"/>
      <c r="AH234" s="150"/>
      <c r="AI234" s="149"/>
      <c r="AJ234" s="166"/>
      <c r="AK234" s="91"/>
      <c r="AL234"/>
      <c r="AM234"/>
      <c r="AN234"/>
      <c r="AO234"/>
      <c r="AP234"/>
      <c r="AQ234"/>
      <c r="AR234" s="224"/>
      <c r="AS234" s="224"/>
      <c r="AT234" s="224"/>
      <c r="AU234" s="224"/>
      <c r="AV234" s="224"/>
      <c r="AW234" s="224"/>
      <c r="AX234" s="224"/>
      <c r="AY234" s="224"/>
      <c r="AZ234" s="224"/>
      <c r="BA234" s="224"/>
      <c r="BB234" s="224"/>
      <c r="BC234" s="224"/>
      <c r="BD234" s="224"/>
      <c r="BE234" s="224"/>
      <c r="BF234" s="224"/>
      <c r="BG234" s="224"/>
      <c r="BH234" s="224"/>
      <c r="BI234" s="224"/>
      <c r="BJ234" s="224"/>
      <c r="BK234" s="224"/>
      <c r="BL234" s="224"/>
      <c r="BM234" s="224"/>
      <c r="BN234" s="224"/>
      <c r="BO234" s="224"/>
      <c r="BP234" s="224"/>
      <c r="BQ234" s="224"/>
      <c r="BR234" s="224"/>
      <c r="BS234" s="224"/>
      <c r="BT234" s="224"/>
      <c r="BU234" s="224"/>
      <c r="BV234" s="224"/>
      <c r="BW234" s="224"/>
      <c r="BX234" s="224"/>
      <c r="BY234" s="224"/>
      <c r="BZ234" s="224"/>
      <c r="CA234" s="224"/>
      <c r="CB234" s="224"/>
      <c r="CC234" s="224"/>
      <c r="CD234" s="224"/>
      <c r="CE234" s="224"/>
      <c r="CF234" s="224"/>
      <c r="CG234" s="224"/>
      <c r="CH234" s="224"/>
    </row>
    <row r="235" spans="1:86" s="1" customFormat="1" ht="18" hidden="1" customHeight="1">
      <c r="A235" s="515"/>
      <c r="B235" s="167"/>
      <c r="C235" s="168"/>
      <c r="D235" s="169"/>
      <c r="E235" s="170"/>
      <c r="F235" s="171"/>
      <c r="G235" s="153"/>
      <c r="H235" s="154"/>
      <c r="I235" s="174"/>
      <c r="J235" s="154"/>
      <c r="K235" s="156"/>
      <c r="L235" s="153"/>
      <c r="M235" s="154"/>
      <c r="N235" s="174"/>
      <c r="O235" s="154"/>
      <c r="P235" s="156"/>
      <c r="Q235" s="153"/>
      <c r="R235" s="154"/>
      <c r="S235" s="155"/>
      <c r="T235" s="154"/>
      <c r="U235" s="156"/>
      <c r="V235" s="153"/>
      <c r="W235" s="154"/>
      <c r="X235" s="174"/>
      <c r="Y235" s="154"/>
      <c r="Z235" s="156"/>
      <c r="AA235" s="153"/>
      <c r="AB235" s="154"/>
      <c r="AC235" s="155"/>
      <c r="AD235" s="154"/>
      <c r="AE235" s="156"/>
      <c r="AF235" s="153"/>
      <c r="AG235" s="154"/>
      <c r="AH235" s="155"/>
      <c r="AI235" s="154"/>
      <c r="AJ235" s="156"/>
      <c r="AK235" s="91"/>
      <c r="AL235"/>
      <c r="AM235"/>
      <c r="AN235"/>
      <c r="AO235"/>
      <c r="AP235"/>
      <c r="AQ235"/>
      <c r="AR235" s="224"/>
      <c r="AS235" s="224"/>
      <c r="AT235" s="224"/>
      <c r="AU235" s="224"/>
      <c r="AV235" s="224"/>
      <c r="AW235" s="224"/>
      <c r="AX235" s="224"/>
      <c r="AY235" s="224"/>
      <c r="AZ235" s="224"/>
      <c r="BA235" s="224"/>
      <c r="BB235" s="224"/>
      <c r="BC235" s="224"/>
      <c r="BD235" s="224"/>
      <c r="BE235" s="224"/>
      <c r="BF235" s="224"/>
      <c r="BG235" s="224"/>
      <c r="BH235" s="224"/>
      <c r="BI235" s="224"/>
      <c r="BJ235" s="224"/>
      <c r="BK235" s="224"/>
      <c r="BL235" s="224"/>
      <c r="BM235" s="224"/>
      <c r="BN235" s="224"/>
      <c r="BO235" s="224"/>
      <c r="BP235" s="224"/>
      <c r="BQ235" s="224"/>
      <c r="BR235" s="224"/>
      <c r="BS235" s="224"/>
      <c r="BT235" s="224"/>
      <c r="BU235" s="224"/>
      <c r="BV235" s="224"/>
      <c r="BW235" s="224"/>
      <c r="BX235" s="224"/>
      <c r="BY235" s="224"/>
      <c r="BZ235" s="224"/>
      <c r="CA235" s="224"/>
      <c r="CB235" s="224"/>
      <c r="CC235" s="224"/>
      <c r="CD235" s="224"/>
      <c r="CE235" s="224"/>
      <c r="CF235" s="224"/>
      <c r="CG235" s="224"/>
      <c r="CH235" s="224"/>
    </row>
    <row r="236" spans="1:86" s="1" customFormat="1" ht="18" hidden="1" customHeight="1">
      <c r="A236" s="515"/>
      <c r="B236" s="167"/>
      <c r="C236" s="168"/>
      <c r="D236" s="169"/>
      <c r="E236" s="170"/>
      <c r="F236" s="171"/>
      <c r="G236" s="153"/>
      <c r="H236" s="154"/>
      <c r="I236" s="174"/>
      <c r="J236" s="154"/>
      <c r="K236" s="156"/>
      <c r="L236" s="153"/>
      <c r="M236" s="154"/>
      <c r="N236" s="174"/>
      <c r="O236" s="154"/>
      <c r="P236" s="156"/>
      <c r="Q236" s="153"/>
      <c r="R236" s="154"/>
      <c r="S236" s="155"/>
      <c r="T236" s="154"/>
      <c r="U236" s="156"/>
      <c r="V236" s="153"/>
      <c r="W236" s="154"/>
      <c r="X236" s="174"/>
      <c r="Y236" s="154"/>
      <c r="Z236" s="156"/>
      <c r="AA236" s="153"/>
      <c r="AB236" s="154"/>
      <c r="AC236" s="155"/>
      <c r="AD236" s="154"/>
      <c r="AE236" s="156"/>
      <c r="AF236" s="153"/>
      <c r="AG236" s="154"/>
      <c r="AH236" s="155"/>
      <c r="AI236" s="154"/>
      <c r="AJ236" s="156"/>
      <c r="AK236" s="91"/>
      <c r="AL236"/>
      <c r="AM236"/>
      <c r="AN236"/>
      <c r="AO236"/>
      <c r="AP236"/>
      <c r="AQ236"/>
      <c r="AR236" s="224"/>
      <c r="AS236" s="224"/>
      <c r="AT236" s="224"/>
      <c r="AU236" s="224"/>
      <c r="AV236" s="224"/>
      <c r="AW236" s="224"/>
      <c r="AX236" s="224"/>
      <c r="AY236" s="224"/>
      <c r="AZ236" s="224"/>
      <c r="BA236" s="224"/>
      <c r="BB236" s="224"/>
      <c r="BC236" s="224"/>
      <c r="BD236" s="224"/>
      <c r="BE236" s="224"/>
      <c r="BF236" s="224"/>
      <c r="BG236" s="224"/>
      <c r="BH236" s="224"/>
      <c r="BI236" s="224"/>
      <c r="BJ236" s="224"/>
      <c r="BK236" s="224"/>
      <c r="BL236" s="224"/>
      <c r="BM236" s="224"/>
      <c r="BN236" s="224"/>
      <c r="BO236" s="224"/>
      <c r="BP236" s="224"/>
      <c r="BQ236" s="224"/>
      <c r="BR236" s="224"/>
      <c r="BS236" s="224"/>
      <c r="BT236" s="224"/>
      <c r="BU236" s="224"/>
      <c r="BV236" s="224"/>
      <c r="BW236" s="224"/>
      <c r="BX236" s="224"/>
      <c r="BY236" s="224"/>
      <c r="BZ236" s="224"/>
      <c r="CA236" s="224"/>
      <c r="CB236" s="224"/>
      <c r="CC236" s="224"/>
      <c r="CD236" s="224"/>
      <c r="CE236" s="224"/>
      <c r="CF236" s="224"/>
      <c r="CG236" s="224"/>
      <c r="CH236" s="224"/>
    </row>
    <row r="237" spans="1:86" s="1" customFormat="1" ht="18" hidden="1" customHeight="1">
      <c r="A237" s="515"/>
      <c r="B237" s="167"/>
      <c r="C237" s="168"/>
      <c r="D237" s="169"/>
      <c r="E237" s="170"/>
      <c r="F237" s="171"/>
      <c r="G237" s="153"/>
      <c r="H237" s="154"/>
      <c r="I237" s="174"/>
      <c r="J237" s="154"/>
      <c r="K237" s="156"/>
      <c r="L237" s="153"/>
      <c r="M237" s="154"/>
      <c r="N237" s="174"/>
      <c r="O237" s="154"/>
      <c r="P237" s="156"/>
      <c r="Q237" s="153"/>
      <c r="R237" s="154"/>
      <c r="S237" s="155"/>
      <c r="T237" s="154"/>
      <c r="U237" s="156"/>
      <c r="V237" s="153"/>
      <c r="W237" s="154"/>
      <c r="X237" s="174"/>
      <c r="Y237" s="154"/>
      <c r="Z237" s="156"/>
      <c r="AA237" s="153"/>
      <c r="AB237" s="154"/>
      <c r="AC237" s="155"/>
      <c r="AD237" s="154"/>
      <c r="AE237" s="156"/>
      <c r="AF237" s="153"/>
      <c r="AG237" s="154"/>
      <c r="AH237" s="155"/>
      <c r="AI237" s="154"/>
      <c r="AJ237" s="156"/>
      <c r="AK237" s="91"/>
      <c r="AL237"/>
      <c r="AM237"/>
      <c r="AN237"/>
      <c r="AO237"/>
      <c r="AP237"/>
      <c r="AQ237"/>
      <c r="AR237" s="224"/>
      <c r="AS237" s="224"/>
      <c r="AT237" s="224"/>
      <c r="AU237" s="224"/>
      <c r="AV237" s="224"/>
      <c r="AW237" s="224"/>
      <c r="AX237" s="224"/>
      <c r="AY237" s="224"/>
      <c r="AZ237" s="224"/>
      <c r="BA237" s="224"/>
      <c r="BB237" s="224"/>
      <c r="BC237" s="224"/>
      <c r="BD237" s="224"/>
      <c r="BE237" s="224"/>
      <c r="BF237" s="224"/>
      <c r="BG237" s="224"/>
      <c r="BH237" s="224"/>
      <c r="BI237" s="224"/>
      <c r="BJ237" s="224"/>
      <c r="BK237" s="224"/>
      <c r="BL237" s="224"/>
      <c r="BM237" s="224"/>
      <c r="BN237" s="224"/>
      <c r="BO237" s="224"/>
      <c r="BP237" s="224"/>
      <c r="BQ237" s="224"/>
      <c r="BR237" s="224"/>
      <c r="BS237" s="224"/>
      <c r="BT237" s="224"/>
      <c r="BU237" s="224"/>
      <c r="BV237" s="224"/>
      <c r="BW237" s="224"/>
      <c r="BX237" s="224"/>
      <c r="BY237" s="224"/>
      <c r="BZ237" s="224"/>
      <c r="CA237" s="224"/>
      <c r="CB237" s="224"/>
      <c r="CC237" s="224"/>
      <c r="CD237" s="224"/>
      <c r="CE237" s="224"/>
      <c r="CF237" s="224"/>
      <c r="CG237" s="224"/>
      <c r="CH237" s="224"/>
    </row>
    <row r="238" spans="1:86" s="1" customFormat="1" ht="18" hidden="1" customHeight="1">
      <c r="A238" s="515"/>
      <c r="B238" s="167"/>
      <c r="C238" s="168"/>
      <c r="D238" s="169"/>
      <c r="E238" s="170"/>
      <c r="F238" s="171"/>
      <c r="G238" s="153"/>
      <c r="H238" s="154"/>
      <c r="I238" s="174"/>
      <c r="J238" s="154"/>
      <c r="K238" s="156"/>
      <c r="L238" s="153"/>
      <c r="M238" s="154"/>
      <c r="N238" s="174"/>
      <c r="O238" s="154"/>
      <c r="P238" s="156"/>
      <c r="Q238" s="153"/>
      <c r="R238" s="154"/>
      <c r="S238" s="155"/>
      <c r="T238" s="154"/>
      <c r="U238" s="156"/>
      <c r="V238" s="153"/>
      <c r="W238" s="154"/>
      <c r="X238" s="174"/>
      <c r="Y238" s="154"/>
      <c r="Z238" s="156"/>
      <c r="AA238" s="153"/>
      <c r="AB238" s="154"/>
      <c r="AC238" s="155"/>
      <c r="AD238" s="154"/>
      <c r="AE238" s="156"/>
      <c r="AF238" s="153"/>
      <c r="AG238" s="154"/>
      <c r="AH238" s="155"/>
      <c r="AI238" s="154"/>
      <c r="AJ238" s="156"/>
      <c r="AK238" s="91"/>
      <c r="AL238"/>
      <c r="AM238"/>
      <c r="AN238"/>
      <c r="AO238"/>
      <c r="AP238"/>
      <c r="AQ238"/>
      <c r="AR238" s="224"/>
      <c r="AS238" s="224"/>
      <c r="AT238" s="224"/>
      <c r="AU238" s="224"/>
      <c r="AV238" s="224"/>
      <c r="AW238" s="224"/>
      <c r="AX238" s="224"/>
      <c r="AY238" s="224"/>
      <c r="AZ238" s="224"/>
      <c r="BA238" s="224"/>
      <c r="BB238" s="224"/>
      <c r="BC238" s="224"/>
      <c r="BD238" s="224"/>
      <c r="BE238" s="224"/>
      <c r="BF238" s="224"/>
      <c r="BG238" s="224"/>
      <c r="BH238" s="224"/>
      <c r="BI238" s="224"/>
      <c r="BJ238" s="224"/>
      <c r="BK238" s="224"/>
      <c r="BL238" s="224"/>
      <c r="BM238" s="224"/>
      <c r="BN238" s="224"/>
      <c r="BO238" s="224"/>
      <c r="BP238" s="224"/>
      <c r="BQ238" s="224"/>
      <c r="BR238" s="224"/>
      <c r="BS238" s="224"/>
      <c r="BT238" s="224"/>
      <c r="BU238" s="224"/>
      <c r="BV238" s="224"/>
      <c r="BW238" s="224"/>
      <c r="BX238" s="224"/>
      <c r="BY238" s="224"/>
      <c r="BZ238" s="224"/>
      <c r="CA238" s="224"/>
      <c r="CB238" s="224"/>
      <c r="CC238" s="224"/>
      <c r="CD238" s="224"/>
      <c r="CE238" s="224"/>
      <c r="CF238" s="224"/>
      <c r="CG238" s="224"/>
      <c r="CH238" s="224"/>
    </row>
    <row r="239" spans="1:86" s="1" customFormat="1" ht="18" hidden="1" customHeight="1">
      <c r="A239" s="515"/>
      <c r="B239" s="167"/>
      <c r="C239" s="168"/>
      <c r="D239" s="169"/>
      <c r="E239" s="170"/>
      <c r="F239" s="171"/>
      <c r="G239" s="153"/>
      <c r="H239" s="154"/>
      <c r="I239" s="174"/>
      <c r="J239" s="154"/>
      <c r="K239" s="156"/>
      <c r="L239" s="153"/>
      <c r="M239" s="154"/>
      <c r="N239" s="174"/>
      <c r="O239" s="154"/>
      <c r="P239" s="156"/>
      <c r="Q239" s="153"/>
      <c r="R239" s="154"/>
      <c r="S239" s="155"/>
      <c r="T239" s="154"/>
      <c r="U239" s="156"/>
      <c r="V239" s="153"/>
      <c r="W239" s="154"/>
      <c r="X239" s="174"/>
      <c r="Y239" s="154"/>
      <c r="Z239" s="156"/>
      <c r="AA239" s="153"/>
      <c r="AB239" s="154"/>
      <c r="AC239" s="155"/>
      <c r="AD239" s="154"/>
      <c r="AE239" s="156"/>
      <c r="AF239" s="153"/>
      <c r="AG239" s="154"/>
      <c r="AH239" s="155"/>
      <c r="AI239" s="154"/>
      <c r="AJ239" s="156"/>
      <c r="AK239" s="91"/>
      <c r="AL239"/>
      <c r="AM239"/>
      <c r="AN239"/>
      <c r="AO239"/>
      <c r="AP239"/>
      <c r="AQ239"/>
      <c r="AR239" s="224"/>
      <c r="AS239" s="224"/>
      <c r="AT239" s="224"/>
      <c r="AU239" s="224"/>
      <c r="AV239" s="224"/>
      <c r="AW239" s="224"/>
      <c r="AX239" s="224"/>
      <c r="AY239" s="224"/>
      <c r="AZ239" s="224"/>
      <c r="BA239" s="224"/>
      <c r="BB239" s="224"/>
      <c r="BC239" s="224"/>
      <c r="BD239" s="224"/>
      <c r="BE239" s="224"/>
      <c r="BF239" s="224"/>
      <c r="BG239" s="224"/>
      <c r="BH239" s="224"/>
      <c r="BI239" s="224"/>
      <c r="BJ239" s="224"/>
      <c r="BK239" s="224"/>
      <c r="BL239" s="224"/>
      <c r="BM239" s="224"/>
      <c r="BN239" s="224"/>
      <c r="BO239" s="224"/>
      <c r="BP239" s="224"/>
      <c r="BQ239" s="224"/>
      <c r="BR239" s="224"/>
      <c r="BS239" s="224"/>
      <c r="BT239" s="224"/>
      <c r="BU239" s="224"/>
      <c r="BV239" s="224"/>
      <c r="BW239" s="224"/>
      <c r="BX239" s="224"/>
      <c r="BY239" s="224"/>
      <c r="BZ239" s="224"/>
      <c r="CA239" s="224"/>
      <c r="CB239" s="224"/>
      <c r="CC239" s="224"/>
      <c r="CD239" s="224"/>
      <c r="CE239" s="224"/>
      <c r="CF239" s="224"/>
      <c r="CG239" s="224"/>
      <c r="CH239" s="224"/>
    </row>
    <row r="240" spans="1:86" s="1" customFormat="1" ht="18" hidden="1" customHeight="1">
      <c r="A240" s="515"/>
      <c r="B240" s="167"/>
      <c r="C240" s="168"/>
      <c r="D240" s="169"/>
      <c r="E240" s="170"/>
      <c r="F240" s="171"/>
      <c r="G240" s="153"/>
      <c r="H240" s="154"/>
      <c r="I240" s="174"/>
      <c r="J240" s="154"/>
      <c r="K240" s="156"/>
      <c r="L240" s="153"/>
      <c r="M240" s="154"/>
      <c r="N240" s="174"/>
      <c r="O240" s="154"/>
      <c r="P240" s="156"/>
      <c r="Q240" s="153"/>
      <c r="R240" s="154"/>
      <c r="S240" s="155"/>
      <c r="T240" s="154"/>
      <c r="U240" s="156"/>
      <c r="V240" s="153"/>
      <c r="W240" s="154"/>
      <c r="X240" s="174"/>
      <c r="Y240" s="154"/>
      <c r="Z240" s="156"/>
      <c r="AA240" s="153"/>
      <c r="AB240" s="154"/>
      <c r="AC240" s="155"/>
      <c r="AD240" s="154"/>
      <c r="AE240" s="156"/>
      <c r="AF240" s="153"/>
      <c r="AG240" s="154"/>
      <c r="AH240" s="155"/>
      <c r="AI240" s="154"/>
      <c r="AJ240" s="156"/>
      <c r="AK240" s="91"/>
      <c r="AL240"/>
      <c r="AM240"/>
      <c r="AN240"/>
      <c r="AO240"/>
      <c r="AP240"/>
      <c r="AQ240"/>
      <c r="AR240" s="224"/>
      <c r="AS240" s="224"/>
      <c r="AT240" s="224"/>
      <c r="AU240" s="224"/>
      <c r="AV240" s="224"/>
      <c r="AW240" s="224"/>
      <c r="AX240" s="224"/>
      <c r="AY240" s="224"/>
      <c r="AZ240" s="224"/>
      <c r="BA240" s="224"/>
      <c r="BB240" s="224"/>
      <c r="BC240" s="224"/>
      <c r="BD240" s="224"/>
      <c r="BE240" s="224"/>
      <c r="BF240" s="224"/>
      <c r="BG240" s="224"/>
      <c r="BH240" s="224"/>
      <c r="BI240" s="224"/>
      <c r="BJ240" s="224"/>
      <c r="BK240" s="224"/>
      <c r="BL240" s="224"/>
      <c r="BM240" s="224"/>
      <c r="BN240" s="224"/>
      <c r="BO240" s="224"/>
      <c r="BP240" s="224"/>
      <c r="BQ240" s="224"/>
      <c r="BR240" s="224"/>
      <c r="BS240" s="224"/>
      <c r="BT240" s="224"/>
      <c r="BU240" s="224"/>
      <c r="BV240" s="224"/>
      <c r="BW240" s="224"/>
      <c r="BX240" s="224"/>
      <c r="BY240" s="224"/>
      <c r="BZ240" s="224"/>
      <c r="CA240" s="224"/>
      <c r="CB240" s="224"/>
      <c r="CC240" s="224"/>
      <c r="CD240" s="224"/>
      <c r="CE240" s="224"/>
      <c r="CF240" s="224"/>
      <c r="CG240" s="224"/>
      <c r="CH240" s="224"/>
    </row>
    <row r="241" spans="1:86" ht="18.75" hidden="1" customHeight="1">
      <c r="A241" s="515"/>
      <c r="B241" s="167"/>
      <c r="C241" s="168"/>
      <c r="D241" s="169"/>
      <c r="E241" s="170"/>
      <c r="F241" s="171"/>
      <c r="G241" s="153"/>
      <c r="H241" s="154"/>
      <c r="I241" s="174"/>
      <c r="J241" s="154"/>
      <c r="K241" s="156"/>
      <c r="L241" s="153"/>
      <c r="M241" s="154"/>
      <c r="N241" s="174"/>
      <c r="O241" s="154"/>
      <c r="P241" s="156"/>
      <c r="Q241" s="153"/>
      <c r="R241" s="154"/>
      <c r="S241" s="155"/>
      <c r="T241" s="154"/>
      <c r="U241" s="156"/>
      <c r="V241" s="153"/>
      <c r="W241" s="154"/>
      <c r="X241" s="174"/>
      <c r="Y241" s="154"/>
      <c r="Z241" s="156"/>
      <c r="AA241" s="153"/>
      <c r="AB241" s="154"/>
      <c r="AC241" s="155"/>
      <c r="AD241" s="154"/>
      <c r="AE241" s="156"/>
      <c r="AF241" s="153"/>
      <c r="AG241" s="154"/>
      <c r="AH241" s="155"/>
      <c r="AI241" s="154"/>
      <c r="AJ241" s="156"/>
      <c r="AK241" s="7"/>
    </row>
    <row r="242" spans="1:86" ht="18.75" hidden="1" customHeight="1">
      <c r="A242" s="515"/>
      <c r="B242" s="167"/>
      <c r="C242" s="168"/>
      <c r="D242" s="169"/>
      <c r="E242" s="170"/>
      <c r="F242" s="171"/>
      <c r="G242" s="153"/>
      <c r="H242" s="154"/>
      <c r="I242" s="174"/>
      <c r="J242" s="154"/>
      <c r="K242" s="156"/>
      <c r="L242" s="153"/>
      <c r="M242" s="154"/>
      <c r="N242" s="174"/>
      <c r="O242" s="154"/>
      <c r="P242" s="156"/>
      <c r="Q242" s="153"/>
      <c r="R242" s="154"/>
      <c r="S242" s="155"/>
      <c r="T242" s="154"/>
      <c r="U242" s="156"/>
      <c r="V242" s="153"/>
      <c r="W242" s="154"/>
      <c r="X242" s="174"/>
      <c r="Y242" s="154"/>
      <c r="Z242" s="156"/>
      <c r="AA242" s="153"/>
      <c r="AB242" s="154"/>
      <c r="AC242" s="155"/>
      <c r="AD242" s="154"/>
      <c r="AE242" s="156"/>
      <c r="AF242" s="153"/>
      <c r="AG242" s="154"/>
      <c r="AH242" s="155"/>
      <c r="AI242" s="154"/>
      <c r="AJ242" s="156"/>
      <c r="AK242" s="7"/>
    </row>
    <row r="243" spans="1:86" ht="18.75" hidden="1" customHeight="1">
      <c r="A243" s="515"/>
      <c r="B243" s="167"/>
      <c r="C243" s="168"/>
      <c r="D243" s="169"/>
      <c r="E243" s="170"/>
      <c r="F243" s="171"/>
      <c r="G243" s="153"/>
      <c r="H243" s="154"/>
      <c r="I243" s="174"/>
      <c r="J243" s="154"/>
      <c r="K243" s="156"/>
      <c r="L243" s="153"/>
      <c r="M243" s="154"/>
      <c r="N243" s="174"/>
      <c r="O243" s="154"/>
      <c r="P243" s="156"/>
      <c r="Q243" s="153"/>
      <c r="R243" s="154"/>
      <c r="S243" s="155"/>
      <c r="T243" s="154"/>
      <c r="U243" s="156"/>
      <c r="V243" s="153"/>
      <c r="W243" s="154"/>
      <c r="X243" s="174"/>
      <c r="Y243" s="154"/>
      <c r="Z243" s="156"/>
      <c r="AA243" s="153"/>
      <c r="AB243" s="154"/>
      <c r="AC243" s="155"/>
      <c r="AD243" s="154"/>
      <c r="AE243" s="156"/>
      <c r="AF243" s="153"/>
      <c r="AG243" s="154"/>
      <c r="AH243" s="155"/>
      <c r="AI243" s="154"/>
      <c r="AJ243" s="156"/>
      <c r="AK243" s="7"/>
    </row>
    <row r="244" spans="1:86" ht="18.75" hidden="1" customHeight="1">
      <c r="A244" s="515"/>
      <c r="B244" s="167"/>
      <c r="C244" s="168"/>
      <c r="D244" s="169"/>
      <c r="E244" s="170"/>
      <c r="F244" s="171"/>
      <c r="G244" s="153"/>
      <c r="H244" s="154"/>
      <c r="I244" s="174"/>
      <c r="J244" s="154"/>
      <c r="K244" s="156"/>
      <c r="L244" s="153"/>
      <c r="M244" s="154"/>
      <c r="N244" s="174"/>
      <c r="O244" s="154"/>
      <c r="P244" s="156"/>
      <c r="Q244" s="153"/>
      <c r="R244" s="154"/>
      <c r="S244" s="155"/>
      <c r="T244" s="154"/>
      <c r="U244" s="156"/>
      <c r="V244" s="153"/>
      <c r="W244" s="154"/>
      <c r="X244" s="174"/>
      <c r="Y244" s="154"/>
      <c r="Z244" s="156"/>
      <c r="AA244" s="153"/>
      <c r="AB244" s="154"/>
      <c r="AC244" s="155"/>
      <c r="AD244" s="154"/>
      <c r="AE244" s="156"/>
      <c r="AF244" s="153"/>
      <c r="AG244" s="154"/>
      <c r="AH244" s="155"/>
      <c r="AI244" s="154"/>
      <c r="AJ244" s="156"/>
      <c r="AK244" s="7"/>
    </row>
    <row r="245" spans="1:86" ht="18.75" hidden="1" customHeight="1">
      <c r="A245" s="515"/>
      <c r="B245" s="167"/>
      <c r="C245" s="168"/>
      <c r="D245" s="169"/>
      <c r="E245" s="170"/>
      <c r="F245" s="171"/>
      <c r="G245" s="153"/>
      <c r="H245" s="154"/>
      <c r="I245" s="174"/>
      <c r="J245" s="154"/>
      <c r="K245" s="156"/>
      <c r="L245" s="153"/>
      <c r="M245" s="154"/>
      <c r="N245" s="174"/>
      <c r="O245" s="154"/>
      <c r="P245" s="156"/>
      <c r="Q245" s="153"/>
      <c r="R245" s="154"/>
      <c r="S245" s="155"/>
      <c r="T245" s="154"/>
      <c r="U245" s="156"/>
      <c r="V245" s="153"/>
      <c r="W245" s="154"/>
      <c r="X245" s="174"/>
      <c r="Y245" s="154"/>
      <c r="Z245" s="156"/>
      <c r="AA245" s="153"/>
      <c r="AB245" s="154"/>
      <c r="AC245" s="155"/>
      <c r="AD245" s="154"/>
      <c r="AE245" s="156"/>
      <c r="AF245" s="153"/>
      <c r="AG245" s="154"/>
      <c r="AH245" s="155"/>
      <c r="AI245" s="154"/>
      <c r="AJ245" s="156"/>
      <c r="AK245" s="7"/>
    </row>
    <row r="246" spans="1:86" ht="18.75" hidden="1" customHeight="1">
      <c r="A246" s="515"/>
      <c r="B246" s="167"/>
      <c r="C246" s="168"/>
      <c r="D246" s="169"/>
      <c r="E246" s="170"/>
      <c r="F246" s="171"/>
      <c r="G246" s="153"/>
      <c r="H246" s="154"/>
      <c r="I246" s="174"/>
      <c r="J246" s="154"/>
      <c r="K246" s="156"/>
      <c r="L246" s="153"/>
      <c r="M246" s="154"/>
      <c r="N246" s="174"/>
      <c r="O246" s="154"/>
      <c r="P246" s="156"/>
      <c r="Q246" s="153"/>
      <c r="R246" s="154"/>
      <c r="S246" s="155"/>
      <c r="T246" s="154"/>
      <c r="U246" s="156"/>
      <c r="V246" s="153"/>
      <c r="W246" s="154"/>
      <c r="X246" s="174"/>
      <c r="Y246" s="154"/>
      <c r="Z246" s="156"/>
      <c r="AA246" s="153"/>
      <c r="AB246" s="154"/>
      <c r="AC246" s="155"/>
      <c r="AD246" s="154"/>
      <c r="AE246" s="156"/>
      <c r="AF246" s="153"/>
      <c r="AG246" s="154"/>
      <c r="AH246" s="155"/>
      <c r="AI246" s="154"/>
      <c r="AJ246" s="156"/>
      <c r="AK246" s="7"/>
    </row>
    <row r="247" spans="1:86" ht="18.75" hidden="1" customHeight="1">
      <c r="A247" s="515"/>
      <c r="B247" s="167"/>
      <c r="C247" s="168"/>
      <c r="D247" s="169"/>
      <c r="E247" s="170"/>
      <c r="F247" s="171"/>
      <c r="G247" s="153"/>
      <c r="H247" s="154"/>
      <c r="I247" s="174"/>
      <c r="J247" s="154"/>
      <c r="K247" s="156"/>
      <c r="L247" s="153"/>
      <c r="M247" s="154"/>
      <c r="N247" s="174"/>
      <c r="O247" s="154"/>
      <c r="P247" s="156"/>
      <c r="Q247" s="153"/>
      <c r="R247" s="154"/>
      <c r="S247" s="155"/>
      <c r="T247" s="154"/>
      <c r="U247" s="156"/>
      <c r="V247" s="153"/>
      <c r="W247" s="154"/>
      <c r="X247" s="174"/>
      <c r="Y247" s="154"/>
      <c r="Z247" s="156"/>
      <c r="AA247" s="153"/>
      <c r="AB247" s="154"/>
      <c r="AC247" s="155"/>
      <c r="AD247" s="154"/>
      <c r="AE247" s="156"/>
      <c r="AF247" s="153"/>
      <c r="AG247" s="154"/>
      <c r="AH247" s="155"/>
      <c r="AI247" s="154"/>
      <c r="AJ247" s="156"/>
      <c r="AK247" s="7"/>
    </row>
    <row r="248" spans="1:86" ht="18.75" hidden="1" customHeight="1">
      <c r="A248" s="515"/>
      <c r="B248" s="175"/>
      <c r="C248" s="176"/>
      <c r="D248" s="177"/>
      <c r="E248" s="177"/>
      <c r="F248" s="178"/>
      <c r="G248" s="179"/>
      <c r="H248" s="180"/>
      <c r="I248" s="181"/>
      <c r="J248" s="180"/>
      <c r="K248" s="182"/>
      <c r="L248" s="179"/>
      <c r="M248" s="180"/>
      <c r="N248" s="181"/>
      <c r="O248" s="180"/>
      <c r="P248" s="182"/>
      <c r="Q248" s="179"/>
      <c r="R248" s="180"/>
      <c r="S248" s="180"/>
      <c r="T248" s="180"/>
      <c r="U248" s="182"/>
      <c r="V248" s="179"/>
      <c r="W248" s="180"/>
      <c r="X248" s="181"/>
      <c r="Y248" s="180"/>
      <c r="Z248" s="182"/>
      <c r="AA248" s="179"/>
      <c r="AB248" s="180"/>
      <c r="AC248" s="180"/>
      <c r="AD248" s="180"/>
      <c r="AE248" s="182"/>
      <c r="AF248" s="179"/>
      <c r="AG248" s="180"/>
      <c r="AH248" s="180"/>
      <c r="AI248" s="180"/>
      <c r="AJ248" s="182"/>
      <c r="AK248" s="7"/>
    </row>
    <row r="249" spans="1:86" ht="18.75" hidden="1" customHeight="1">
      <c r="A249" s="516"/>
      <c r="B249" s="517" t="s">
        <v>9</v>
      </c>
      <c r="C249" s="518"/>
      <c r="D249" s="519"/>
      <c r="E249" s="518"/>
      <c r="F249" s="32" t="s">
        <v>10</v>
      </c>
      <c r="G249" s="520"/>
      <c r="H249" s="521"/>
      <c r="I249" s="522"/>
      <c r="J249" s="521"/>
      <c r="K249" s="183"/>
      <c r="L249" s="520"/>
      <c r="M249" s="521"/>
      <c r="N249" s="522"/>
      <c r="O249" s="521"/>
      <c r="P249" s="183"/>
      <c r="Q249" s="520"/>
      <c r="R249" s="521"/>
      <c r="S249" s="522"/>
      <c r="T249" s="521"/>
      <c r="U249" s="183"/>
      <c r="V249" s="520"/>
      <c r="W249" s="521"/>
      <c r="X249" s="522"/>
      <c r="Y249" s="521"/>
      <c r="Z249" s="183"/>
      <c r="AA249" s="520"/>
      <c r="AB249" s="521"/>
      <c r="AC249" s="522"/>
      <c r="AD249" s="521"/>
      <c r="AE249" s="183"/>
      <c r="AF249" s="520"/>
      <c r="AG249" s="521"/>
      <c r="AH249" s="522"/>
      <c r="AI249" s="521"/>
      <c r="AJ249" s="183"/>
      <c r="AK249" s="7"/>
    </row>
    <row r="250" spans="1:86" s="1" customFormat="1" ht="18" customHeight="1">
      <c r="A250" s="234"/>
      <c r="B250" s="235"/>
      <c r="C250" s="236"/>
      <c r="D250" s="237"/>
      <c r="E250" s="238"/>
      <c r="F250" s="239"/>
      <c r="G250" s="240"/>
      <c r="H250" s="236"/>
      <c r="I250" s="271"/>
      <c r="J250" s="242"/>
      <c r="K250" s="243"/>
      <c r="L250" s="240"/>
      <c r="M250" s="236" t="s">
        <v>116</v>
      </c>
      <c r="N250" s="241"/>
      <c r="O250" s="236"/>
      <c r="P250" s="243"/>
      <c r="Q250" s="240"/>
      <c r="R250" s="236"/>
      <c r="S250" s="241"/>
      <c r="T250" s="236"/>
      <c r="U250" s="243"/>
      <c r="V250" s="240"/>
      <c r="W250" s="236" t="s">
        <v>116</v>
      </c>
      <c r="X250" s="271"/>
      <c r="Y250" s="242"/>
      <c r="Z250" s="243"/>
      <c r="AA250" s="240"/>
      <c r="AB250" s="236"/>
      <c r="AC250" s="241"/>
      <c r="AD250" s="236"/>
      <c r="AE250" s="243"/>
      <c r="AF250" s="240"/>
      <c r="AG250" s="244"/>
      <c r="AH250" s="245"/>
      <c r="AI250" s="244"/>
      <c r="AJ250" s="243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</row>
    <row r="251" spans="1:86" s="1" customFormat="1" ht="18" customHeight="1">
      <c r="A251" s="234"/>
      <c r="B251" s="235"/>
      <c r="C251" s="236"/>
      <c r="D251" s="237"/>
      <c r="E251" s="238"/>
      <c r="F251" s="239"/>
      <c r="G251" s="235"/>
      <c r="H251" s="236"/>
      <c r="I251" s="271"/>
      <c r="J251" s="242"/>
      <c r="K251" s="239"/>
      <c r="L251" s="235"/>
      <c r="M251" s="236" t="s">
        <v>117</v>
      </c>
      <c r="N251" s="241"/>
      <c r="O251" s="236"/>
      <c r="P251" s="239"/>
      <c r="Q251" s="240"/>
      <c r="R251" s="236"/>
      <c r="S251" s="241"/>
      <c r="T251" s="236"/>
      <c r="U251" s="243"/>
      <c r="V251" s="240"/>
      <c r="W251" s="236" t="s">
        <v>117</v>
      </c>
      <c r="X251" s="271"/>
      <c r="Y251" s="242"/>
      <c r="Z251" s="243"/>
      <c r="AA251" s="240"/>
      <c r="AB251" s="236"/>
      <c r="AC251" s="241"/>
      <c r="AD251" s="236"/>
      <c r="AE251" s="243"/>
      <c r="AF251" s="235"/>
      <c r="AG251" s="236"/>
      <c r="AH251" s="237"/>
      <c r="AI251" s="238"/>
      <c r="AJ251" s="239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</row>
    <row r="252" spans="1:86" s="1" customFormat="1" ht="18" customHeight="1">
      <c r="A252" s="234"/>
      <c r="B252" s="235"/>
      <c r="C252" s="236"/>
      <c r="D252" s="237"/>
      <c r="E252" s="238"/>
      <c r="F252" s="239"/>
      <c r="G252" s="235"/>
      <c r="H252" s="236"/>
      <c r="I252" s="271"/>
      <c r="J252" s="242"/>
      <c r="K252" s="239"/>
      <c r="L252" s="235"/>
      <c r="M252" s="236" t="s">
        <v>118</v>
      </c>
      <c r="N252" s="241"/>
      <c r="O252" s="236"/>
      <c r="P252" s="239"/>
      <c r="Q252" s="240"/>
      <c r="R252" s="236"/>
      <c r="S252" s="241"/>
      <c r="T252" s="236"/>
      <c r="U252" s="243"/>
      <c r="V252" s="240"/>
      <c r="W252" s="236" t="s">
        <v>118</v>
      </c>
      <c r="X252" s="271"/>
      <c r="Y252" s="242"/>
      <c r="Z252" s="243"/>
      <c r="AA252" s="240"/>
      <c r="AB252" s="236"/>
      <c r="AC252" s="241"/>
      <c r="AD252" s="236"/>
      <c r="AE252" s="243"/>
      <c r="AF252" s="235"/>
      <c r="AG252" s="236"/>
      <c r="AH252" s="237"/>
      <c r="AI252" s="238"/>
      <c r="AJ252" s="239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</row>
    <row r="253" spans="1:86" s="1" customFormat="1" ht="18" customHeight="1" thickBot="1">
      <c r="A253" s="234"/>
      <c r="B253" s="235"/>
      <c r="C253" s="236"/>
      <c r="D253" s="237"/>
      <c r="E253" s="238"/>
      <c r="F253" s="239"/>
      <c r="G253" s="246"/>
      <c r="H253" s="247"/>
      <c r="I253" s="272"/>
      <c r="J253" s="249"/>
      <c r="K253" s="250"/>
      <c r="L253" s="246"/>
      <c r="M253" s="247" t="s">
        <v>119</v>
      </c>
      <c r="N253" s="248"/>
      <c r="O253" s="247"/>
      <c r="P253" s="250"/>
      <c r="Q253" s="251"/>
      <c r="R253" s="247"/>
      <c r="S253" s="248"/>
      <c r="T253" s="247"/>
      <c r="U253" s="252"/>
      <c r="V253" s="251"/>
      <c r="W253" s="247" t="s">
        <v>119</v>
      </c>
      <c r="X253" s="272"/>
      <c r="Y253" s="249"/>
      <c r="Z253" s="252"/>
      <c r="AA253" s="251"/>
      <c r="AB253" s="247"/>
      <c r="AC253" s="248"/>
      <c r="AD253" s="247"/>
      <c r="AE253" s="252"/>
      <c r="AF253" s="235"/>
      <c r="AG253" s="236"/>
      <c r="AH253" s="237"/>
      <c r="AI253" s="238"/>
      <c r="AJ253" s="239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</row>
    <row r="254" spans="1:86" s="224" customFormat="1" ht="18" customHeight="1">
      <c r="A254" s="514" t="s">
        <v>69</v>
      </c>
      <c r="B254" s="631" t="s">
        <v>36</v>
      </c>
      <c r="C254" s="632"/>
      <c r="D254" s="219" t="s">
        <v>70</v>
      </c>
      <c r="E254" s="629" t="s">
        <v>71</v>
      </c>
      <c r="F254" s="630"/>
      <c r="G254" s="631" t="s">
        <v>36</v>
      </c>
      <c r="H254" s="632"/>
      <c r="I254" s="219" t="s">
        <v>70</v>
      </c>
      <c r="J254" s="629" t="s">
        <v>71</v>
      </c>
      <c r="K254" s="630"/>
      <c r="L254" s="631" t="s">
        <v>36</v>
      </c>
      <c r="M254" s="632"/>
      <c r="N254" s="219" t="s">
        <v>70</v>
      </c>
      <c r="O254" s="629" t="s">
        <v>71</v>
      </c>
      <c r="P254" s="630"/>
      <c r="Q254" s="631" t="s">
        <v>36</v>
      </c>
      <c r="R254" s="632"/>
      <c r="S254" s="219" t="s">
        <v>70</v>
      </c>
      <c r="T254" s="629" t="s">
        <v>71</v>
      </c>
      <c r="U254" s="630"/>
      <c r="V254" s="631" t="s">
        <v>36</v>
      </c>
      <c r="W254" s="632"/>
      <c r="X254" s="219" t="s">
        <v>70</v>
      </c>
      <c r="Y254" s="629" t="s">
        <v>71</v>
      </c>
      <c r="Z254" s="630"/>
      <c r="AA254" s="631" t="s">
        <v>36</v>
      </c>
      <c r="AB254" s="632"/>
      <c r="AC254" s="219" t="s">
        <v>70</v>
      </c>
      <c r="AD254" s="629" t="s">
        <v>71</v>
      </c>
      <c r="AE254" s="630"/>
      <c r="AF254" s="631" t="s">
        <v>36</v>
      </c>
      <c r="AG254" s="632"/>
      <c r="AH254" s="219" t="s">
        <v>70</v>
      </c>
      <c r="AI254" s="629" t="s">
        <v>71</v>
      </c>
      <c r="AJ254" s="630"/>
      <c r="AK254" s="91"/>
      <c r="AL254"/>
      <c r="AM254"/>
      <c r="AN254"/>
      <c r="AO254"/>
      <c r="AP254"/>
      <c r="AQ254"/>
    </row>
    <row r="255" spans="1:86" s="224" customFormat="1" ht="18" customHeight="1">
      <c r="A255" s="527"/>
      <c r="B255" s="633"/>
      <c r="C255" s="634"/>
      <c r="D255" s="220"/>
      <c r="E255" s="623"/>
      <c r="F255" s="624"/>
      <c r="G255" s="633"/>
      <c r="H255" s="634"/>
      <c r="I255" s="220"/>
      <c r="J255" s="623"/>
      <c r="K255" s="624"/>
      <c r="L255" s="633"/>
      <c r="M255" s="634"/>
      <c r="N255" s="220"/>
      <c r="O255" s="623"/>
      <c r="P255" s="624"/>
      <c r="Q255" s="633"/>
      <c r="R255" s="634"/>
      <c r="S255" s="220"/>
      <c r="T255" s="623"/>
      <c r="U255" s="624"/>
      <c r="V255" s="633"/>
      <c r="W255" s="634"/>
      <c r="X255" s="220"/>
      <c r="Y255" s="623"/>
      <c r="Z255" s="624"/>
      <c r="AA255" s="633"/>
      <c r="AB255" s="634"/>
      <c r="AC255" s="220"/>
      <c r="AD255" s="623"/>
      <c r="AE255" s="624"/>
      <c r="AF255" s="633"/>
      <c r="AG255" s="634"/>
      <c r="AH255" s="220"/>
      <c r="AI255" s="623"/>
      <c r="AJ255" s="624"/>
      <c r="AK255" s="91"/>
      <c r="AL255"/>
      <c r="AM255"/>
      <c r="AN255"/>
      <c r="AO255"/>
      <c r="AP255"/>
      <c r="AQ255"/>
    </row>
    <row r="256" spans="1:86" s="224" customFormat="1" ht="18" customHeight="1">
      <c r="A256" s="527"/>
      <c r="B256" s="625" t="s">
        <v>34</v>
      </c>
      <c r="C256" s="626"/>
      <c r="D256" s="221" t="s">
        <v>72</v>
      </c>
      <c r="E256" s="627" t="s">
        <v>73</v>
      </c>
      <c r="F256" s="628"/>
      <c r="G256" s="625" t="s">
        <v>34</v>
      </c>
      <c r="H256" s="626"/>
      <c r="I256" s="221" t="s">
        <v>72</v>
      </c>
      <c r="J256" s="627" t="s">
        <v>73</v>
      </c>
      <c r="K256" s="628"/>
      <c r="L256" s="625" t="s">
        <v>34</v>
      </c>
      <c r="M256" s="626"/>
      <c r="N256" s="221" t="s">
        <v>72</v>
      </c>
      <c r="O256" s="627" t="s">
        <v>73</v>
      </c>
      <c r="P256" s="628"/>
      <c r="Q256" s="625" t="s">
        <v>34</v>
      </c>
      <c r="R256" s="626"/>
      <c r="S256" s="221" t="s">
        <v>72</v>
      </c>
      <c r="T256" s="627" t="s">
        <v>73</v>
      </c>
      <c r="U256" s="628"/>
      <c r="V256" s="625" t="s">
        <v>34</v>
      </c>
      <c r="W256" s="626"/>
      <c r="X256" s="221" t="s">
        <v>72</v>
      </c>
      <c r="Y256" s="627" t="s">
        <v>73</v>
      </c>
      <c r="Z256" s="628"/>
      <c r="AA256" s="625" t="s">
        <v>34</v>
      </c>
      <c r="AB256" s="626"/>
      <c r="AC256" s="221" t="s">
        <v>72</v>
      </c>
      <c r="AD256" s="627" t="s">
        <v>73</v>
      </c>
      <c r="AE256" s="628"/>
      <c r="AF256" s="625" t="s">
        <v>34</v>
      </c>
      <c r="AG256" s="626"/>
      <c r="AH256" s="221" t="s">
        <v>72</v>
      </c>
      <c r="AI256" s="627" t="s">
        <v>73</v>
      </c>
      <c r="AJ256" s="628"/>
      <c r="AK256" s="91"/>
      <c r="AL256"/>
      <c r="AM256"/>
      <c r="AN256"/>
      <c r="AO256"/>
      <c r="AP256"/>
      <c r="AQ256"/>
    </row>
    <row r="257" spans="1:86" s="224" customFormat="1" ht="18" customHeight="1">
      <c r="A257" s="527"/>
      <c r="B257" s="625"/>
      <c r="C257" s="626"/>
      <c r="D257" s="220"/>
      <c r="E257" s="623"/>
      <c r="F257" s="624"/>
      <c r="G257" s="625"/>
      <c r="H257" s="626"/>
      <c r="I257" s="220"/>
      <c r="J257" s="623"/>
      <c r="K257" s="624"/>
      <c r="L257" s="625"/>
      <c r="M257" s="626"/>
      <c r="N257" s="220"/>
      <c r="O257" s="623"/>
      <c r="P257" s="624"/>
      <c r="Q257" s="625"/>
      <c r="R257" s="626"/>
      <c r="S257" s="220"/>
      <c r="T257" s="623"/>
      <c r="U257" s="624"/>
      <c r="V257" s="625"/>
      <c r="W257" s="626"/>
      <c r="X257" s="220"/>
      <c r="Y257" s="623"/>
      <c r="Z257" s="624"/>
      <c r="AA257" s="625"/>
      <c r="AB257" s="626"/>
      <c r="AC257" s="220"/>
      <c r="AD257" s="623"/>
      <c r="AE257" s="624"/>
      <c r="AF257" s="625"/>
      <c r="AG257" s="626"/>
      <c r="AH257" s="220"/>
      <c r="AI257" s="623"/>
      <c r="AJ257" s="624"/>
      <c r="AK257" s="91"/>
      <c r="AL257"/>
      <c r="AM257"/>
      <c r="AN257"/>
      <c r="AO257"/>
      <c r="AP257"/>
      <c r="AQ257"/>
    </row>
    <row r="258" spans="1:86" s="224" customFormat="1" ht="18" customHeight="1">
      <c r="A258" s="527"/>
      <c r="B258" s="625" t="s">
        <v>74</v>
      </c>
      <c r="C258" s="626"/>
      <c r="D258" s="221" t="s">
        <v>75</v>
      </c>
      <c r="E258" s="627" t="s">
        <v>76</v>
      </c>
      <c r="F258" s="628"/>
      <c r="G258" s="625" t="s">
        <v>74</v>
      </c>
      <c r="H258" s="626"/>
      <c r="I258" s="221" t="s">
        <v>75</v>
      </c>
      <c r="J258" s="627" t="s">
        <v>76</v>
      </c>
      <c r="K258" s="628"/>
      <c r="L258" s="625" t="s">
        <v>74</v>
      </c>
      <c r="M258" s="626"/>
      <c r="N258" s="221" t="s">
        <v>75</v>
      </c>
      <c r="O258" s="627" t="s">
        <v>76</v>
      </c>
      <c r="P258" s="628"/>
      <c r="Q258" s="625" t="s">
        <v>74</v>
      </c>
      <c r="R258" s="626"/>
      <c r="S258" s="221" t="s">
        <v>75</v>
      </c>
      <c r="T258" s="627" t="s">
        <v>76</v>
      </c>
      <c r="U258" s="628"/>
      <c r="V258" s="625" t="s">
        <v>74</v>
      </c>
      <c r="W258" s="626"/>
      <c r="X258" s="221" t="s">
        <v>75</v>
      </c>
      <c r="Y258" s="627" t="s">
        <v>76</v>
      </c>
      <c r="Z258" s="628"/>
      <c r="AA258" s="625" t="s">
        <v>74</v>
      </c>
      <c r="AB258" s="626"/>
      <c r="AC258" s="221" t="s">
        <v>75</v>
      </c>
      <c r="AD258" s="627" t="s">
        <v>76</v>
      </c>
      <c r="AE258" s="628"/>
      <c r="AF258" s="625" t="s">
        <v>74</v>
      </c>
      <c r="AG258" s="626"/>
      <c r="AH258" s="221" t="s">
        <v>75</v>
      </c>
      <c r="AI258" s="627" t="s">
        <v>76</v>
      </c>
      <c r="AJ258" s="628"/>
      <c r="AK258" s="91"/>
      <c r="AL258"/>
      <c r="AM258"/>
      <c r="AN258"/>
      <c r="AO258"/>
      <c r="AP258"/>
      <c r="AQ258"/>
    </row>
    <row r="259" spans="1:86" s="224" customFormat="1" ht="18" customHeight="1" thickBot="1">
      <c r="A259" s="516"/>
      <c r="B259" s="621"/>
      <c r="C259" s="622"/>
      <c r="D259" s="222"/>
      <c r="E259" s="619"/>
      <c r="F259" s="620"/>
      <c r="G259" s="621"/>
      <c r="H259" s="622"/>
      <c r="I259" s="222"/>
      <c r="J259" s="619"/>
      <c r="K259" s="620"/>
      <c r="L259" s="621"/>
      <c r="M259" s="622"/>
      <c r="N259" s="222"/>
      <c r="O259" s="619"/>
      <c r="P259" s="620"/>
      <c r="Q259" s="621"/>
      <c r="R259" s="622"/>
      <c r="S259" s="222"/>
      <c r="T259" s="619"/>
      <c r="U259" s="620"/>
      <c r="V259" s="621"/>
      <c r="W259" s="622"/>
      <c r="X259" s="222"/>
      <c r="Y259" s="619"/>
      <c r="Z259" s="620"/>
      <c r="AA259" s="621"/>
      <c r="AB259" s="622"/>
      <c r="AC259" s="222"/>
      <c r="AD259" s="619"/>
      <c r="AE259" s="620"/>
      <c r="AF259" s="621"/>
      <c r="AG259" s="622"/>
      <c r="AH259" s="222"/>
      <c r="AI259" s="619"/>
      <c r="AJ259" s="620"/>
      <c r="AK259" s="91"/>
      <c r="AL259"/>
      <c r="AM259"/>
      <c r="AN259"/>
      <c r="AO259"/>
      <c r="AP259"/>
      <c r="AQ259"/>
    </row>
    <row r="260" spans="1:86" s="1" customFormat="1" ht="18" customHeight="1">
      <c r="A260" s="603" t="s">
        <v>61</v>
      </c>
      <c r="B260" s="603"/>
      <c r="C260" s="603"/>
      <c r="D260" s="603"/>
      <c r="E260" s="603"/>
      <c r="F260" s="603"/>
      <c r="G260" s="603"/>
      <c r="H260" s="603"/>
      <c r="I260" s="603"/>
      <c r="J260" s="603"/>
      <c r="K260" s="603"/>
      <c r="L260" s="603"/>
      <c r="M260" s="603"/>
      <c r="N260" s="603"/>
      <c r="O260" s="603"/>
      <c r="P260" s="603"/>
      <c r="Q260" s="603"/>
      <c r="R260" s="603"/>
      <c r="S260" s="603"/>
      <c r="T260" s="603"/>
      <c r="U260" s="603"/>
      <c r="V260" s="603"/>
      <c r="W260" s="603"/>
      <c r="X260" s="603"/>
      <c r="Y260" s="603"/>
      <c r="Z260" s="603"/>
      <c r="AA260" s="603"/>
      <c r="AB260" s="603"/>
      <c r="AC260" s="603"/>
      <c r="AD260" s="603"/>
      <c r="AE260" s="603"/>
      <c r="AF260" s="69"/>
      <c r="AG260" s="69"/>
      <c r="AH260" s="69"/>
      <c r="AI260" s="69"/>
      <c r="AJ260" s="69"/>
      <c r="AK260" s="91"/>
      <c r="AL260"/>
      <c r="AM260"/>
      <c r="AN260"/>
      <c r="AO260"/>
      <c r="AP260"/>
      <c r="AQ260"/>
      <c r="AR260" s="224"/>
      <c r="AS260" s="224"/>
      <c r="AT260" s="224"/>
      <c r="AU260" s="224"/>
      <c r="AV260" s="224"/>
      <c r="AW260" s="224"/>
      <c r="AX260" s="224"/>
      <c r="AY260" s="224"/>
      <c r="AZ260" s="224"/>
      <c r="BA260" s="224"/>
      <c r="BB260" s="224"/>
      <c r="BC260" s="224"/>
      <c r="BD260" s="224"/>
      <c r="BE260" s="224"/>
      <c r="BF260" s="224"/>
      <c r="BG260" s="224"/>
      <c r="BH260" s="224"/>
      <c r="BI260" s="224"/>
      <c r="BJ260" s="224"/>
      <c r="BK260" s="224"/>
      <c r="BL260" s="224"/>
      <c r="BM260" s="224"/>
      <c r="BN260" s="224"/>
      <c r="BO260" s="224"/>
      <c r="BP260" s="224"/>
      <c r="BQ260" s="224"/>
      <c r="BR260" s="224"/>
      <c r="BS260" s="224"/>
      <c r="BT260" s="224"/>
      <c r="BU260" s="224"/>
      <c r="BV260" s="224"/>
      <c r="BW260" s="224"/>
      <c r="BX260" s="224"/>
      <c r="BY260" s="224"/>
      <c r="BZ260" s="224"/>
      <c r="CA260" s="224"/>
      <c r="CB260" s="224"/>
      <c r="CC260" s="224"/>
      <c r="CD260" s="224"/>
      <c r="CE260" s="224"/>
      <c r="CF260" s="224"/>
      <c r="CG260" s="224"/>
      <c r="CH260" s="224"/>
    </row>
    <row r="261" spans="1:86" s="1" customFormat="1" ht="18" customHeight="1">
      <c r="A261" s="604" t="s">
        <v>62</v>
      </c>
      <c r="B261" s="604"/>
      <c r="C261" s="604"/>
      <c r="D261" s="604"/>
      <c r="E261" s="604"/>
      <c r="F261" s="604"/>
      <c r="G261" s="604"/>
      <c r="H261" s="604"/>
      <c r="I261" s="604"/>
      <c r="J261" s="604"/>
      <c r="K261" s="604"/>
      <c r="L261" s="604"/>
      <c r="M261" s="604"/>
      <c r="N261" s="604"/>
      <c r="O261" s="604"/>
      <c r="P261" s="604"/>
      <c r="Q261" s="604"/>
      <c r="R261" s="604"/>
      <c r="S261" s="604"/>
      <c r="T261" s="604"/>
      <c r="U261" s="604"/>
      <c r="V261" s="604"/>
      <c r="W261" s="604"/>
      <c r="X261" s="604"/>
      <c r="Y261" s="604"/>
      <c r="Z261" s="604"/>
      <c r="AA261" s="604"/>
      <c r="AB261" s="604"/>
      <c r="AC261" s="604"/>
      <c r="AD261" s="604"/>
      <c r="AE261" s="604"/>
      <c r="AF261" s="69"/>
      <c r="AG261" s="69"/>
      <c r="AH261" s="69"/>
      <c r="AI261" s="69"/>
      <c r="AJ261" s="69"/>
      <c r="AK261" s="91"/>
      <c r="AL261"/>
      <c r="AM261"/>
      <c r="AN261"/>
      <c r="AO261"/>
      <c r="AP261"/>
      <c r="AQ261"/>
      <c r="AR261" s="224"/>
      <c r="AS261" s="224"/>
      <c r="AT261" s="224"/>
      <c r="AU261" s="224"/>
      <c r="AV261" s="224"/>
      <c r="AW261" s="224"/>
      <c r="AX261" s="224"/>
      <c r="AY261" s="224"/>
      <c r="AZ261" s="224"/>
      <c r="BA261" s="224"/>
      <c r="BB261" s="224"/>
      <c r="BC261" s="224"/>
      <c r="BD261" s="224"/>
      <c r="BE261" s="224"/>
      <c r="BF261" s="224"/>
      <c r="BG261" s="224"/>
      <c r="BH261" s="224"/>
      <c r="BI261" s="224"/>
      <c r="BJ261" s="224"/>
      <c r="BK261" s="224"/>
      <c r="BL261" s="224"/>
      <c r="BM261" s="224"/>
      <c r="BN261" s="224"/>
      <c r="BO261" s="224"/>
      <c r="BP261" s="224"/>
      <c r="BQ261" s="224"/>
      <c r="BR261" s="224"/>
      <c r="BS261" s="224"/>
      <c r="BT261" s="224"/>
      <c r="BU261" s="224"/>
      <c r="BV261" s="224"/>
      <c r="BW261" s="224"/>
      <c r="BX261" s="224"/>
      <c r="BY261" s="224"/>
      <c r="BZ261" s="224"/>
      <c r="CA261" s="224"/>
      <c r="CB261" s="224"/>
      <c r="CC261" s="224"/>
      <c r="CD261" s="224"/>
      <c r="CE261" s="224"/>
      <c r="CF261" s="224"/>
      <c r="CG261" s="224"/>
      <c r="CH261" s="224"/>
    </row>
    <row r="262" spans="1:86" ht="18.75">
      <c r="A262" s="500" t="s">
        <v>64</v>
      </c>
      <c r="B262" s="500"/>
      <c r="C262" s="500"/>
      <c r="D262" s="500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  <c r="Y262" s="500"/>
      <c r="Z262" s="500"/>
      <c r="AA262" s="500"/>
      <c r="AB262" s="500"/>
      <c r="AC262" s="500"/>
      <c r="AD262" s="500"/>
      <c r="AE262" s="500"/>
      <c r="AF262" s="500"/>
      <c r="AG262" s="500"/>
      <c r="AH262" s="500"/>
      <c r="AI262" s="500"/>
      <c r="AJ262" s="500"/>
      <c r="AK262" s="7"/>
    </row>
    <row r="263" spans="1:86" ht="16.149999999999999" customHeight="1">
      <c r="A263" s="500" t="s">
        <v>63</v>
      </c>
      <c r="B263" s="500"/>
      <c r="C263" s="500"/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7"/>
    </row>
    <row r="264" spans="1:86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  <c r="AA264" s="501"/>
      <c r="AB264" s="501"/>
      <c r="AC264" s="501"/>
      <c r="AD264" s="501"/>
      <c r="AE264" s="501"/>
      <c r="AF264" s="501"/>
      <c r="AG264" s="501"/>
      <c r="AH264" s="501"/>
      <c r="AI264" s="501"/>
      <c r="AJ264" s="501"/>
    </row>
    <row r="265" spans="1:86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  <c r="AA265" s="501"/>
      <c r="AB265" s="501"/>
      <c r="AC265" s="501"/>
      <c r="AD265" s="501"/>
      <c r="AE265" s="501"/>
      <c r="AF265" s="501"/>
      <c r="AG265" s="501"/>
      <c r="AH265" s="501"/>
      <c r="AI265" s="501"/>
      <c r="AJ265" s="501"/>
    </row>
    <row r="266" spans="1:86">
      <c r="I266" s="7" t="s">
        <v>77</v>
      </c>
      <c r="J266" s="7">
        <v>800</v>
      </c>
      <c r="N266" s="7" t="s">
        <v>77</v>
      </c>
      <c r="O266" s="7">
        <v>800</v>
      </c>
      <c r="S266" s="7" t="s">
        <v>77</v>
      </c>
      <c r="T266" s="7">
        <v>800</v>
      </c>
      <c r="X266" s="7" t="s">
        <v>77</v>
      </c>
      <c r="Y266" s="7">
        <v>800</v>
      </c>
      <c r="AC266" s="7" t="s">
        <v>77</v>
      </c>
      <c r="AD266" s="7">
        <v>800</v>
      </c>
      <c r="AF266" s="7"/>
      <c r="AG266" s="7"/>
      <c r="AH266" s="7" t="s">
        <v>77</v>
      </c>
      <c r="AI266" s="7">
        <v>863</v>
      </c>
      <c r="AJ266" s="7"/>
    </row>
    <row r="267" spans="1:86">
      <c r="I267" s="7" t="s">
        <v>84</v>
      </c>
      <c r="J267" s="7">
        <v>1287</v>
      </c>
      <c r="N267" s="7" t="s">
        <v>84</v>
      </c>
      <c r="O267" s="7">
        <v>1287</v>
      </c>
      <c r="S267" s="7" t="s">
        <v>84</v>
      </c>
      <c r="T267" s="7">
        <v>1287</v>
      </c>
      <c r="X267" s="7" t="s">
        <v>84</v>
      </c>
      <c r="Y267" s="7">
        <v>1287</v>
      </c>
      <c r="AC267" s="7" t="s">
        <v>84</v>
      </c>
      <c r="AD267" s="7">
        <v>1287</v>
      </c>
      <c r="AF267" s="7"/>
      <c r="AG267" s="7"/>
      <c r="AH267" s="7" t="s">
        <v>79</v>
      </c>
      <c r="AI267" s="7">
        <v>1287</v>
      </c>
      <c r="AJ267" s="7"/>
    </row>
    <row r="268" spans="1:86">
      <c r="I268" s="7" t="s">
        <v>85</v>
      </c>
      <c r="J268" s="7">
        <v>35</v>
      </c>
      <c r="N268" s="7" t="s">
        <v>85</v>
      </c>
      <c r="O268" s="7">
        <v>35</v>
      </c>
      <c r="S268" s="7" t="s">
        <v>85</v>
      </c>
      <c r="T268" s="7">
        <v>35</v>
      </c>
      <c r="X268" s="7" t="s">
        <v>85</v>
      </c>
      <c r="Y268" s="7">
        <v>35</v>
      </c>
      <c r="AC268" s="7" t="s">
        <v>85</v>
      </c>
      <c r="AD268" s="7">
        <v>35</v>
      </c>
      <c r="AF268" s="7"/>
      <c r="AG268" s="7"/>
      <c r="AH268" s="7" t="s">
        <v>85</v>
      </c>
      <c r="AI268" s="7">
        <v>35</v>
      </c>
      <c r="AJ268" s="7"/>
    </row>
    <row r="269" spans="1:86">
      <c r="AF269" s="7"/>
      <c r="AG269" s="7"/>
      <c r="AH269" s="7"/>
      <c r="AI269" s="7"/>
      <c r="AJ269" s="7"/>
    </row>
    <row r="270" spans="1:86">
      <c r="AF270" s="7"/>
      <c r="AG270" s="7"/>
      <c r="AH270" s="7"/>
      <c r="AI270" s="7"/>
      <c r="AJ270" s="7"/>
    </row>
    <row r="271" spans="1:86">
      <c r="AF271" s="7"/>
      <c r="AG271" s="7"/>
      <c r="AH271" s="7"/>
      <c r="AI271" s="7"/>
      <c r="AJ271" s="7"/>
    </row>
    <row r="272" spans="1:86">
      <c r="AF272" s="7"/>
      <c r="AG272" s="7"/>
      <c r="AH272" s="7"/>
      <c r="AI272" s="7"/>
      <c r="AJ272" s="7"/>
    </row>
    <row r="273" spans="7:36">
      <c r="G273" s="224"/>
      <c r="H273" s="224"/>
      <c r="I273" s="224"/>
      <c r="J273" s="224"/>
      <c r="K273" s="224"/>
      <c r="AF273" s="7"/>
      <c r="AG273" s="7"/>
      <c r="AH273" s="7"/>
      <c r="AI273" s="7"/>
      <c r="AJ273" s="7"/>
    </row>
    <row r="274" spans="7:36">
      <c r="G274" s="224"/>
      <c r="H274" s="224"/>
      <c r="I274" s="224"/>
      <c r="J274" s="224"/>
      <c r="K274" s="224"/>
      <c r="AF274" s="7"/>
      <c r="AG274" s="7"/>
      <c r="AH274" s="7"/>
      <c r="AI274" s="7"/>
      <c r="AJ274" s="7"/>
    </row>
    <row r="275" spans="7:36">
      <c r="G275" s="224"/>
      <c r="H275" s="224"/>
      <c r="I275" s="224"/>
      <c r="J275" s="224"/>
      <c r="K275" s="224"/>
      <c r="AF275" s="7"/>
      <c r="AG275" s="7"/>
      <c r="AH275" s="7"/>
      <c r="AI275" s="7"/>
      <c r="AJ275" s="7"/>
    </row>
    <row r="276" spans="7:36">
      <c r="G276" s="224"/>
      <c r="H276" s="224"/>
      <c r="I276" s="224"/>
      <c r="J276" s="224"/>
      <c r="K276" s="224"/>
      <c r="AF276" s="7"/>
      <c r="AG276" s="7"/>
      <c r="AH276" s="7"/>
      <c r="AI276" s="7"/>
      <c r="AJ276" s="7"/>
    </row>
    <row r="277" spans="7:36">
      <c r="G277" s="224"/>
      <c r="H277" s="224"/>
      <c r="I277" s="224"/>
      <c r="J277" s="224"/>
      <c r="K277" s="224"/>
      <c r="W277" s="224"/>
      <c r="X277" s="225"/>
      <c r="Y277" s="224"/>
      <c r="Z277" s="224"/>
      <c r="AA277" s="224"/>
      <c r="AF277" s="7"/>
      <c r="AG277" s="7"/>
      <c r="AH277" s="7"/>
      <c r="AI277" s="7"/>
      <c r="AJ277" s="7"/>
    </row>
    <row r="278" spans="7:36">
      <c r="G278" s="224"/>
      <c r="H278" s="224"/>
      <c r="I278" s="224"/>
      <c r="J278" s="224"/>
      <c r="K278" s="224"/>
      <c r="W278" s="224"/>
      <c r="X278" s="225"/>
      <c r="Y278" s="224"/>
      <c r="Z278" s="224"/>
      <c r="AA278" s="224"/>
      <c r="AF278" s="7"/>
      <c r="AG278" s="7"/>
      <c r="AH278" s="7"/>
      <c r="AI278" s="7"/>
      <c r="AJ278" s="7"/>
    </row>
    <row r="279" spans="7:36">
      <c r="G279" s="224"/>
      <c r="H279" s="224"/>
      <c r="I279" s="224"/>
      <c r="J279" s="224"/>
      <c r="K279" s="224"/>
      <c r="W279" s="224"/>
      <c r="X279" s="225"/>
      <c r="Y279" s="224"/>
      <c r="Z279" s="224"/>
      <c r="AA279" s="224"/>
      <c r="AF279" s="7"/>
      <c r="AG279" s="7"/>
      <c r="AH279" s="7"/>
      <c r="AI279" s="7"/>
      <c r="AJ279" s="7"/>
    </row>
    <row r="280" spans="7:36">
      <c r="G280" s="224"/>
      <c r="H280" s="224"/>
      <c r="I280" s="224"/>
      <c r="J280" s="224"/>
      <c r="K280" s="224"/>
      <c r="W280" s="224"/>
      <c r="X280" s="225"/>
      <c r="Y280" s="224"/>
      <c r="Z280" s="224"/>
      <c r="AA280" s="224"/>
      <c r="AF280" s="7"/>
      <c r="AG280" s="7"/>
      <c r="AH280" s="7"/>
      <c r="AI280" s="7"/>
      <c r="AJ280" s="7"/>
    </row>
    <row r="281" spans="7:36">
      <c r="G281" s="224"/>
      <c r="H281" s="224"/>
      <c r="I281" s="224"/>
      <c r="J281" s="224"/>
      <c r="K281" s="224"/>
      <c r="W281" s="224"/>
      <c r="X281" s="225"/>
      <c r="Y281" s="224"/>
      <c r="Z281" s="224"/>
      <c r="AA281" s="224"/>
      <c r="AF281" s="7"/>
      <c r="AG281" s="7"/>
      <c r="AH281" s="7"/>
      <c r="AI281" s="7"/>
      <c r="AJ281" s="7"/>
    </row>
    <row r="282" spans="7:36">
      <c r="G282" s="224"/>
      <c r="H282" s="224"/>
      <c r="I282" s="224"/>
      <c r="J282" s="224"/>
      <c r="K282" s="224"/>
      <c r="W282" s="224"/>
      <c r="X282" s="225"/>
      <c r="Y282" s="224"/>
      <c r="Z282" s="224"/>
      <c r="AA282" s="224"/>
      <c r="AF282" s="7"/>
      <c r="AG282" s="7"/>
      <c r="AH282" s="7"/>
      <c r="AI282" s="7"/>
      <c r="AJ282" s="7"/>
    </row>
    <row r="283" spans="7:36">
      <c r="G283" s="224"/>
      <c r="H283" s="224"/>
      <c r="I283" s="224"/>
      <c r="J283" s="224"/>
      <c r="K283" s="224"/>
      <c r="W283" s="224"/>
      <c r="X283" s="225"/>
      <c r="Y283" s="224"/>
      <c r="Z283" s="224"/>
      <c r="AA283" s="224"/>
      <c r="AF283" s="7"/>
      <c r="AG283" s="7"/>
      <c r="AH283" s="7"/>
      <c r="AI283" s="7"/>
      <c r="AJ283" s="7"/>
    </row>
    <row r="284" spans="7:36">
      <c r="G284" s="224"/>
      <c r="H284" s="224"/>
      <c r="I284" s="224"/>
      <c r="J284" s="224"/>
      <c r="K284" s="224"/>
      <c r="W284" s="224"/>
      <c r="X284" s="225"/>
      <c r="Y284" s="224"/>
      <c r="Z284" s="224"/>
      <c r="AA284" s="224"/>
    </row>
    <row r="285" spans="7:36">
      <c r="G285" s="224"/>
      <c r="H285" s="224"/>
      <c r="I285" s="224"/>
      <c r="J285" s="224"/>
      <c r="K285" s="224"/>
      <c r="W285" s="224"/>
      <c r="X285" s="225"/>
      <c r="Y285" s="224"/>
      <c r="Z285" s="224"/>
      <c r="AA285" s="224"/>
    </row>
    <row r="286" spans="7:36">
      <c r="G286" s="224"/>
      <c r="H286" s="224"/>
      <c r="I286" s="224"/>
      <c r="J286" s="224"/>
      <c r="K286" s="224"/>
      <c r="W286" s="224"/>
      <c r="X286" s="225"/>
      <c r="Y286" s="224"/>
      <c r="Z286" s="224"/>
      <c r="AA286" s="224"/>
    </row>
    <row r="287" spans="7:36">
      <c r="G287" s="224"/>
      <c r="H287" s="224"/>
      <c r="I287" s="224"/>
      <c r="J287" s="224"/>
      <c r="K287" s="224"/>
      <c r="W287" s="224"/>
      <c r="X287" s="225"/>
      <c r="Y287" s="224"/>
      <c r="Z287" s="224"/>
      <c r="AA287" s="224"/>
    </row>
    <row r="288" spans="7:36">
      <c r="W288" s="224"/>
      <c r="X288" s="225"/>
      <c r="Y288" s="224"/>
      <c r="Z288" s="224"/>
      <c r="AA288" s="224"/>
    </row>
    <row r="289" spans="23:27">
      <c r="W289" s="224"/>
      <c r="X289" s="225"/>
      <c r="Y289" s="224"/>
      <c r="Z289" s="224"/>
      <c r="AA289" s="224"/>
    </row>
    <row r="290" spans="23:27">
      <c r="W290" s="224"/>
      <c r="X290" s="225"/>
      <c r="Y290" s="224"/>
      <c r="Z290" s="224"/>
      <c r="AA290" s="224"/>
    </row>
    <row r="291" spans="23:27">
      <c r="W291" s="224"/>
      <c r="X291" s="225"/>
      <c r="Y291" s="224"/>
      <c r="Z291" s="224"/>
      <c r="AA291" s="224"/>
    </row>
  </sheetData>
  <mergeCells count="242">
    <mergeCell ref="A1:AJ1"/>
    <mergeCell ref="A2:A3"/>
    <mergeCell ref="B2:C2"/>
    <mergeCell ref="G2:H2"/>
    <mergeCell ref="L2:M2"/>
    <mergeCell ref="Q2:R2"/>
    <mergeCell ref="V2:W2"/>
    <mergeCell ref="AA2:AB2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84:AA198"/>
    <mergeCell ref="AF184:AF198"/>
    <mergeCell ref="A199:A213"/>
    <mergeCell ref="B199:B213"/>
    <mergeCell ref="G199:G213"/>
    <mergeCell ref="L199:L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C233:AD233"/>
    <mergeCell ref="AF233:AG233"/>
    <mergeCell ref="AH233:AI233"/>
    <mergeCell ref="A234:A249"/>
    <mergeCell ref="B249:C249"/>
    <mergeCell ref="D249:E249"/>
    <mergeCell ref="G249:H249"/>
    <mergeCell ref="I249:J249"/>
    <mergeCell ref="L249:M249"/>
    <mergeCell ref="N249:O249"/>
    <mergeCell ref="N233:O233"/>
    <mergeCell ref="Q233:R233"/>
    <mergeCell ref="S233:T233"/>
    <mergeCell ref="V233:W233"/>
    <mergeCell ref="X233:Y233"/>
    <mergeCell ref="AA233:AB233"/>
    <mergeCell ref="A214:A233"/>
    <mergeCell ref="B233:C233"/>
    <mergeCell ref="D233:E233"/>
    <mergeCell ref="G233:H233"/>
    <mergeCell ref="I233:J233"/>
    <mergeCell ref="L233:M233"/>
    <mergeCell ref="AF249:AG249"/>
    <mergeCell ref="AH249:AI249"/>
    <mergeCell ref="Q249:R249"/>
    <mergeCell ref="B257:C257"/>
    <mergeCell ref="E257:F257"/>
    <mergeCell ref="G257:H257"/>
    <mergeCell ref="J257:K257"/>
    <mergeCell ref="L257:M257"/>
    <mergeCell ref="O257:P257"/>
    <mergeCell ref="Q257:R257"/>
    <mergeCell ref="B259:C259"/>
    <mergeCell ref="E259:F259"/>
    <mergeCell ref="G259:H259"/>
    <mergeCell ref="J259:K259"/>
    <mergeCell ref="L259:M259"/>
    <mergeCell ref="S249:T249"/>
    <mergeCell ref="V249:W249"/>
    <mergeCell ref="X249:Y249"/>
    <mergeCell ref="AA249:AB249"/>
    <mergeCell ref="AC249:AD249"/>
    <mergeCell ref="AI254:AJ254"/>
    <mergeCell ref="B255:C255"/>
    <mergeCell ref="E255:F255"/>
    <mergeCell ref="G255:H255"/>
    <mergeCell ref="J255:K255"/>
    <mergeCell ref="L255:M255"/>
    <mergeCell ref="O255:P255"/>
    <mergeCell ref="Q255:R255"/>
    <mergeCell ref="T255:U255"/>
    <mergeCell ref="V255:W255"/>
    <mergeCell ref="T254:U254"/>
    <mergeCell ref="V254:W254"/>
    <mergeCell ref="Y254:Z254"/>
    <mergeCell ref="AA254:AB254"/>
    <mergeCell ref="AD254:AE254"/>
    <mergeCell ref="AF254:AG254"/>
    <mergeCell ref="Y255:Z255"/>
    <mergeCell ref="AA255:AB255"/>
    <mergeCell ref="AD255:AE255"/>
    <mergeCell ref="AI258:AJ258"/>
    <mergeCell ref="AF255:AG255"/>
    <mergeCell ref="AI255:AJ255"/>
    <mergeCell ref="B256:C256"/>
    <mergeCell ref="E256:F256"/>
    <mergeCell ref="G256:H256"/>
    <mergeCell ref="J256:K256"/>
    <mergeCell ref="L256:M256"/>
    <mergeCell ref="AD256:AE256"/>
    <mergeCell ref="AF256:AG256"/>
    <mergeCell ref="AI256:AJ256"/>
    <mergeCell ref="O256:P256"/>
    <mergeCell ref="Q256:R256"/>
    <mergeCell ref="T256:U256"/>
    <mergeCell ref="V256:W256"/>
    <mergeCell ref="Y256:Z256"/>
    <mergeCell ref="AA256:AB256"/>
    <mergeCell ref="T257:U257"/>
    <mergeCell ref="V257:W257"/>
    <mergeCell ref="Y257:Z257"/>
    <mergeCell ref="AA257:AB257"/>
    <mergeCell ref="AD257:AE257"/>
    <mergeCell ref="AF257:AG257"/>
    <mergeCell ref="Y258:Z258"/>
    <mergeCell ref="AA258:AB258"/>
    <mergeCell ref="AD258:AE258"/>
    <mergeCell ref="AF258:AG258"/>
    <mergeCell ref="B258:C258"/>
    <mergeCell ref="E258:F258"/>
    <mergeCell ref="G258:H258"/>
    <mergeCell ref="J258:K258"/>
    <mergeCell ref="L258:M258"/>
    <mergeCell ref="O258:P258"/>
    <mergeCell ref="Q258:R258"/>
    <mergeCell ref="T258:U258"/>
    <mergeCell ref="V258:W258"/>
    <mergeCell ref="A263:AJ263"/>
    <mergeCell ref="A264:AJ264"/>
    <mergeCell ref="A265:AJ265"/>
    <mergeCell ref="AD259:AE259"/>
    <mergeCell ref="AF259:AG259"/>
    <mergeCell ref="AI259:AJ259"/>
    <mergeCell ref="A260:AE260"/>
    <mergeCell ref="A261:AE261"/>
    <mergeCell ref="A262:AJ262"/>
    <mergeCell ref="O259:P259"/>
    <mergeCell ref="Q259:R259"/>
    <mergeCell ref="T259:U259"/>
    <mergeCell ref="V259:W259"/>
    <mergeCell ref="Y259:Z259"/>
    <mergeCell ref="AA259:AB259"/>
    <mergeCell ref="A254:A259"/>
    <mergeCell ref="B254:C254"/>
    <mergeCell ref="E254:F254"/>
    <mergeCell ref="G254:H254"/>
    <mergeCell ref="J254:K254"/>
    <mergeCell ref="L254:M254"/>
    <mergeCell ref="O254:P254"/>
    <mergeCell ref="Q254:R254"/>
    <mergeCell ref="AI257:AJ257"/>
  </mergeCells>
  <phoneticPr fontId="16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7</vt:i4>
      </vt:variant>
    </vt:vector>
  </HeadingPairs>
  <TitlesOfParts>
    <vt:vector size="16" baseType="lpstr">
      <vt:lpstr>菜單總表</vt:lpstr>
      <vt:lpstr>菜單總表 (招標用)</vt:lpstr>
      <vt:lpstr>菜單</vt:lpstr>
      <vt:lpstr>第一週</vt:lpstr>
      <vt:lpstr>第二週</vt:lpstr>
      <vt:lpstr>第三週</vt:lpstr>
      <vt:lpstr>第四週</vt:lpstr>
      <vt:lpstr>份數表</vt:lpstr>
      <vt:lpstr>第五週</vt:lpstr>
      <vt:lpstr>第一週!Print_Area</vt:lpstr>
      <vt:lpstr>第二週!Print_Area</vt:lpstr>
      <vt:lpstr>第三週!Print_Area</vt:lpstr>
      <vt:lpstr>第五週!Print_Area</vt:lpstr>
      <vt:lpstr>第四週!Print_Area</vt:lpstr>
      <vt:lpstr>菜單!Print_Area</vt:lpstr>
      <vt:lpstr>'菜單總表 (招標用)'!Print_Area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teacher</cp:lastModifiedBy>
  <cp:lastPrinted>2024-05-28T06:38:07Z</cp:lastPrinted>
  <dcterms:created xsi:type="dcterms:W3CDTF">2021-02-24T01:36:51Z</dcterms:created>
  <dcterms:modified xsi:type="dcterms:W3CDTF">2024-06-04T02:37:02Z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